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omments1.xml" ContentType="application/vnd.openxmlformats-officedocument.spreadsheetml.comments+xml"/>
  <Override PartName="/xl/ink/ink1.xml" ContentType="application/inkml+xml"/>
  <Override PartName="/xl/ink/ink2.xml" ContentType="application/inkml+xml"/>
  <Override PartName="/xl/ink/ink3.xml" ContentType="application/inkml+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tables/table5.xml" ContentType="application/vnd.openxmlformats-officedocument.spreadsheetml.tab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xml"/>
  <Override PartName="/xl/tables/table6.xml" ContentType="application/vnd.openxmlformats-officedocument.spreadsheetml.tab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5.xml" ContentType="application/vnd.openxmlformats-officedocument.drawing+xml"/>
  <Override PartName="/xl/tables/table7.xml" ContentType="application/vnd.openxmlformats-officedocument.spreadsheetml.tab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6.xml" ContentType="application/vnd.openxmlformats-officedocument.drawing+xml"/>
  <Override PartName="/xl/tables/table8.xml" ContentType="application/vnd.openxmlformats-officedocument.spreadsheetml.tab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7.xml" ContentType="application/vnd.openxmlformats-officedocument.drawing+xml"/>
  <Override PartName="/xl/tables/table9.xml" ContentType="application/vnd.openxmlformats-officedocument.spreadsheetml.tab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8.xml" ContentType="application/vnd.openxmlformats-officedocument.drawing+xml"/>
  <Override PartName="/xl/tables/table10.xml" ContentType="application/vnd.openxmlformats-officedocument.spreadsheetml.table+xml"/>
  <Override PartName="/xl/comments2.xml" ContentType="application/vnd.openxmlformats-officedocument.spreadsheetml.comments+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9.xml" ContentType="application/vnd.openxmlformats-officedocument.drawing+xml"/>
  <Override PartName="/xl/tables/table11.xml" ContentType="application/vnd.openxmlformats-officedocument.spreadsheetml.table+xml"/>
  <Override PartName="/xl/comments3.xml" ContentType="application/vnd.openxmlformats-officedocument.spreadsheetml.comments+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10.xml" ContentType="application/vnd.openxmlformats-officedocument.drawing+xml"/>
  <Override PartName="/xl/tables/table12.xml" ContentType="application/vnd.openxmlformats-officedocument.spreadsheetml.table+xml"/>
  <Override PartName="/xl/comments4.xml" ContentType="application/vnd.openxmlformats-officedocument.spreadsheetml.comments+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11.xml" ContentType="application/vnd.openxmlformats-officedocument.drawing+xml"/>
  <Override PartName="/xl/tables/table13.xml" ContentType="application/vnd.openxmlformats-officedocument.spreadsheetml.table+xml"/>
  <Override PartName="/xl/comments5.xml" ContentType="application/vnd.openxmlformats-officedocument.spreadsheetml.comments+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12.xml" ContentType="application/vnd.openxmlformats-officedocument.drawing+xml"/>
  <Override PartName="/xl/tables/table14.xml" ContentType="application/vnd.openxmlformats-officedocument.spreadsheetml.table+xml"/>
  <Override PartName="/xl/comments6.xml" ContentType="application/vnd.openxmlformats-officedocument.spreadsheetml.comments+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13.xml" ContentType="application/vnd.openxmlformats-officedocument.drawing+xml"/>
  <Override PartName="/xl/charts/chart12.xml" ContentType="application/vnd.openxmlformats-officedocument.drawingml.chart+xml"/>
  <Override PartName="/xl/drawings/drawing14.xml" ContentType="application/vnd.openxmlformats-officedocument.drawing+xml"/>
  <Override PartName="/xl/charts/chart13.xml" ContentType="application/vnd.openxmlformats-officedocument.drawingml.chart+xml"/>
  <Override PartName="/xl/drawings/drawing15.xml" ContentType="application/vnd.openxmlformats-officedocument.drawing+xml"/>
  <Override PartName="/xl/charts/chart14.xml" ContentType="application/vnd.openxmlformats-officedocument.drawingml.chart+xml"/>
  <Override PartName="/xl/drawings/drawing16.xml" ContentType="application/vnd.openxmlformats-officedocument.drawing+xml"/>
  <Override PartName="/xl/charts/chart15.xml" ContentType="application/vnd.openxmlformats-officedocument.drawingml.chart+xml"/>
  <Override PartName="/xl/drawings/drawing17.xml" ContentType="application/vnd.openxmlformats-officedocument.drawing+xml"/>
  <Override PartName="/xl/charts/chart16.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18.xml" ContentType="application/vnd.openxmlformats-officedocument.drawing+xml"/>
  <Override PartName="/xl/comments7.xml" ContentType="application/vnd.openxmlformats-officedocument.spreadsheetml.comments+xml"/>
  <Override PartName="/xl/charts/chart17.xml" ContentType="application/vnd.openxmlformats-officedocument.drawingml.chart+xml"/>
  <Override PartName="/xl/calcChain.xml" ContentType="application/vnd.openxmlformats-officedocument.spreadsheetml.calcChain+xml"/>
  <Override PartName="/xl/webextensions/taskpanes.xml" ContentType="application/vnd.ms-office.webextensiontaskpanes+xml"/>
  <Override PartName="/xl/webextensions/webextension1.xml" ContentType="application/vnd.ms-office.webextensio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11/relationships/webextensiontaskpanes" Target="xl/webextensions/taskpanes.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24226"/>
  <mc:AlternateContent xmlns:mc="http://schemas.openxmlformats.org/markup-compatibility/2006">
    <mc:Choice Requires="x15">
      <x15ac:absPath xmlns:x15ac="http://schemas.microsoft.com/office/spreadsheetml/2010/11/ac" url="L:\DATA\SCHOOL\STATE CENTER-237\Fac-Neg-01\2025-2028\Meetings\2025-10-23-SCFT\"/>
    </mc:Choice>
  </mc:AlternateContent>
  <xr:revisionPtr revIDLastSave="0" documentId="13_ncr:1_{E7A22C69-3A43-43CB-9DEE-DAD15E158CB1}" xr6:coauthVersionLast="47" xr6:coauthVersionMax="47" xr10:uidLastSave="{00000000-0000-0000-0000-000000000000}"/>
  <bookViews>
    <workbookView xWindow="-5120" yWindow="11630" windowWidth="21600" windowHeight="9340" tabRatio="635" xr2:uid="{00000000-000D-0000-FFFF-FFFF00000000}"/>
  </bookViews>
  <sheets>
    <sheet name="Raw Data" sheetId="1" r:id="rId1"/>
    <sheet name="COLI" sheetId="7" r:id="rId2"/>
    <sheet name="Salary Low" sheetId="2" r:id="rId3"/>
    <sheet name="Salary Low (Masters)" sheetId="31" r:id="rId4"/>
    <sheet name="Masters+5Years" sheetId="38" r:id="rId5"/>
    <sheet name="Masters+30Units+10Years" sheetId="39" r:id="rId6"/>
    <sheet name="Masters+60Units+20Years" sheetId="40" r:id="rId7"/>
    <sheet name="Salary High (MA+)" sheetId="3" r:id="rId8"/>
    <sheet name="Salary Doctorate" sheetId="4" r:id="rId9"/>
    <sheet name="DailyRate" sheetId="37" r:id="rId10"/>
    <sheet name="Comp-Eq-SOL" sheetId="9" r:id="rId11"/>
    <sheet name="Eq-Std-Living-Comp" sheetId="10" r:id="rId12"/>
    <sheet name="Comp-Eq-SOL (2)" sheetId="14" state="hidden" r:id="rId13"/>
    <sheet name="Contract" sheetId="17" state="hidden" r:id="rId14"/>
    <sheet name="Daily Rate" sheetId="21" state="hidden" r:id="rId15"/>
    <sheet name="Lab Rate" sheetId="18" state="hidden" r:id="rId16"/>
    <sheet name="Release Time" sheetId="22" state="hidden" r:id="rId17"/>
    <sheet name="PVC Daily Rate" sheetId="28" state="hidden" r:id="rId18"/>
  </sheets>
  <definedNames>
    <definedName name="_xlnm.Print_Area" localSheetId="1">COLI!$A$1:$J$41</definedName>
    <definedName name="_xlnm.Print_Area" localSheetId="10">'Comp-Eq-SOL'!$B$1:$G$57</definedName>
    <definedName name="_xlnm.Print_Area" localSheetId="12">'Comp-Eq-SOL (2)'!$A$1:$Q$20</definedName>
    <definedName name="_xlnm.Print_Area" localSheetId="13">Contract!$A$1:$P$19</definedName>
    <definedName name="_xlnm.Print_Area" localSheetId="14">'Daily Rate'!$A$1:$Q$34</definedName>
    <definedName name="_xlnm.Print_Area" localSheetId="9">DailyRate!$A$1:$I$41</definedName>
    <definedName name="_xlnm.Print_Area" localSheetId="11">'Eq-Std-Living-Comp'!$A$4:$M$58</definedName>
    <definedName name="_xlnm.Print_Area" localSheetId="15">'Lab Rate'!$A$1:$Q$19</definedName>
    <definedName name="_xlnm.Print_Area" localSheetId="17">'PVC Daily Rate'!$B$1:$Q$23</definedName>
    <definedName name="_xlnm.Print_Area" localSheetId="0">'Raw Data'!$A$1:$U$51</definedName>
    <definedName name="_xlnm.Print_Area" localSheetId="16">'Release Time'!$A$1:$Q$19</definedName>
    <definedName name="_xlnm.Print_Area" localSheetId="8">'Salary Doctorate'!$A$1:$I$46</definedName>
    <definedName name="_xlnm.Print_Area" localSheetId="7">'Salary High (MA+)'!$A$1:$I$51</definedName>
    <definedName name="_xlnm.Print_Area" localSheetId="2">'Salary Low'!$A$1:$I$52</definedName>
    <definedName name="_xlnm.Print_Area" localSheetId="3">'Salary Low (Masters)'!$A$1:$I$54</definedName>
  </definedNames>
  <calcPr calcId="191029"/>
  <customWorkbookViews>
    <customWorkbookView name="Rachel Napier - Personal View" guid="{2553490D-CEB8-4CB7-8490-7C9CCD5DDA4B}" mergeInterval="0" personalView="1" maximized="1" xWindow="-8" yWindow="-8" windowWidth="1616" windowHeight="876"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52" i="1" l="1"/>
  <c r="L51" i="1"/>
  <c r="L50" i="1"/>
  <c r="L49" i="1"/>
  <c r="L33" i="1"/>
  <c r="L40" i="1"/>
  <c r="L29" i="1"/>
  <c r="L27" i="1"/>
  <c r="H57" i="1"/>
  <c r="H56" i="1"/>
  <c r="H55" i="1"/>
  <c r="H54" i="1"/>
  <c r="H49" i="1"/>
  <c r="H44" i="1"/>
  <c r="H29" i="1"/>
  <c r="H40" i="1"/>
  <c r="H28" i="1"/>
  <c r="P3" i="1"/>
  <c r="P4" i="1"/>
  <c r="P5" i="1"/>
  <c r="P6" i="1"/>
  <c r="P7" i="1"/>
  <c r="P8" i="1"/>
  <c r="P9" i="1"/>
  <c r="P11" i="1"/>
  <c r="P12" i="1"/>
  <c r="P13" i="1"/>
  <c r="P14" i="1"/>
  <c r="P15" i="1"/>
  <c r="P16" i="1"/>
  <c r="P17" i="1"/>
  <c r="P18" i="1"/>
  <c r="P19" i="1"/>
  <c r="P20" i="1"/>
  <c r="O15" i="1"/>
  <c r="O14" i="1"/>
  <c r="O8" i="1"/>
  <c r="O5" i="1"/>
  <c r="N16" i="1"/>
  <c r="N15" i="1"/>
  <c r="N5" i="1"/>
  <c r="N3" i="1"/>
  <c r="C51" i="10"/>
  <c r="C40" i="10"/>
  <c r="E41" i="9"/>
  <c r="D45" i="9"/>
  <c r="D41" i="9"/>
  <c r="D46" i="9"/>
  <c r="D37" i="9"/>
  <c r="C40" i="9"/>
  <c r="C51" i="9"/>
  <c r="E50" i="37"/>
  <c r="E49" i="37"/>
  <c r="E48" i="37"/>
  <c r="E47" i="37"/>
  <c r="C28" i="37"/>
  <c r="C38" i="37"/>
  <c r="C44" i="4"/>
  <c r="C46" i="4" s="1"/>
  <c r="C37" i="4"/>
  <c r="C33" i="4"/>
  <c r="C31" i="4"/>
  <c r="C29" i="4"/>
  <c r="C27" i="4"/>
  <c r="C26" i="4"/>
  <c r="C25" i="4"/>
  <c r="C24" i="4"/>
  <c r="C22" i="4"/>
  <c r="C41" i="3"/>
  <c r="C29" i="3"/>
  <c r="C52" i="40"/>
  <c r="C51" i="40"/>
  <c r="C50" i="40"/>
  <c r="C49" i="40"/>
  <c r="C57" i="40"/>
  <c r="C56" i="40"/>
  <c r="C55" i="40"/>
  <c r="C54" i="40"/>
  <c r="C29" i="40"/>
  <c r="C57" i="39"/>
  <c r="C56" i="39"/>
  <c r="C55" i="39"/>
  <c r="C54" i="39"/>
  <c r="C52" i="39"/>
  <c r="C51" i="39"/>
  <c r="C50" i="39"/>
  <c r="C49" i="39"/>
  <c r="C29" i="39"/>
  <c r="C53" i="31"/>
  <c r="C54" i="31"/>
  <c r="C52" i="31"/>
  <c r="C51" i="31"/>
  <c r="C29" i="38"/>
  <c r="C31" i="31"/>
  <c r="C50" i="2"/>
  <c r="C49" i="2"/>
  <c r="C48" i="2"/>
  <c r="C47" i="2"/>
  <c r="C55" i="2"/>
  <c r="C54" i="2"/>
  <c r="C53" i="2"/>
  <c r="C52" i="2"/>
  <c r="M5" i="1"/>
  <c r="M3" i="1"/>
  <c r="R20" i="1"/>
  <c r="T20" i="1" s="1"/>
  <c r="R19" i="1"/>
  <c r="R15" i="1"/>
  <c r="T15" i="1" s="1"/>
  <c r="R16" i="1"/>
  <c r="T16" i="1" s="1"/>
  <c r="R18" i="1"/>
  <c r="R17" i="1"/>
  <c r="R14" i="1"/>
  <c r="T14" i="1" s="1"/>
  <c r="R13" i="1"/>
  <c r="T13" i="1" s="1"/>
  <c r="R12" i="1"/>
  <c r="T12" i="1" s="1"/>
  <c r="R11" i="1"/>
  <c r="T11" i="1" s="1"/>
  <c r="R9" i="1"/>
  <c r="T9" i="1" s="1"/>
  <c r="R5" i="1"/>
  <c r="T5" i="1" s="1"/>
  <c r="R7" i="1"/>
  <c r="T7" i="1" s="1"/>
  <c r="R6" i="1"/>
  <c r="T6" i="1" s="1"/>
  <c r="R4" i="1"/>
  <c r="T4" i="1" s="1"/>
  <c r="R3" i="1"/>
  <c r="L32" i="1"/>
  <c r="H30" i="1"/>
  <c r="G55" i="10"/>
  <c r="I55" i="10" s="1"/>
  <c r="G54" i="10"/>
  <c r="I54" i="10" s="1"/>
  <c r="G53" i="10"/>
  <c r="I53" i="10" s="1"/>
  <c r="G52" i="10"/>
  <c r="G49" i="10"/>
  <c r="I49" i="10" s="1"/>
  <c r="G48" i="10"/>
  <c r="I48" i="10" s="1"/>
  <c r="G47" i="10"/>
  <c r="I47" i="10" s="1"/>
  <c r="G46" i="10"/>
  <c r="I46" i="10" s="1"/>
  <c r="G45" i="10"/>
  <c r="G44" i="10"/>
  <c r="G43" i="10"/>
  <c r="I43" i="10" s="1"/>
  <c r="G42" i="10"/>
  <c r="G41" i="10"/>
  <c r="G40" i="10"/>
  <c r="G39" i="10"/>
  <c r="I39" i="10" s="1"/>
  <c r="G38" i="10"/>
  <c r="F42" i="9"/>
  <c r="F53" i="9"/>
  <c r="M8" i="1"/>
  <c r="L8" i="1"/>
  <c r="K8" i="1"/>
  <c r="J8" i="1"/>
  <c r="I8" i="1"/>
  <c r="H8" i="1"/>
  <c r="G8" i="1"/>
  <c r="O10" i="1"/>
  <c r="E28" i="37"/>
  <c r="C47" i="40"/>
  <c r="T17" i="1"/>
  <c r="T19" i="1"/>
  <c r="S10" i="1"/>
  <c r="S3" i="1"/>
  <c r="T3" i="1"/>
  <c r="Q5" i="1"/>
  <c r="S5" i="1" s="1"/>
  <c r="Q20" i="1"/>
  <c r="S20" i="1" s="1"/>
  <c r="Q19" i="1"/>
  <c r="S19" i="1" s="1"/>
  <c r="Q15" i="1"/>
  <c r="S15" i="1" s="1"/>
  <c r="Q16" i="1"/>
  <c r="S16" i="1" s="1"/>
  <c r="Q18" i="1"/>
  <c r="Q17" i="1"/>
  <c r="S17" i="1" s="1"/>
  <c r="Q14" i="1"/>
  <c r="S14" i="1" s="1"/>
  <c r="Q13" i="1"/>
  <c r="S13" i="1" s="1"/>
  <c r="Q12" i="1"/>
  <c r="S12" i="1" s="1"/>
  <c r="Q11" i="1"/>
  <c r="S11" i="1" s="1"/>
  <c r="Q9" i="1"/>
  <c r="S9" i="1" s="1"/>
  <c r="Q7" i="1"/>
  <c r="S7" i="1" s="1"/>
  <c r="Q6" i="1"/>
  <c r="S6" i="1" s="1"/>
  <c r="Q4" i="1"/>
  <c r="S4" i="1" s="1"/>
  <c r="Q3" i="1"/>
  <c r="I41" i="10"/>
  <c r="I42" i="10"/>
  <c r="I44" i="10"/>
  <c r="I45" i="10"/>
  <c r="I52" i="10"/>
  <c r="I38" i="10"/>
  <c r="H38" i="10"/>
  <c r="F38" i="10"/>
  <c r="F39" i="10"/>
  <c r="H39" i="10"/>
  <c r="F40" i="10"/>
  <c r="H40" i="10"/>
  <c r="F41" i="10"/>
  <c r="H41" i="10"/>
  <c r="F42" i="10"/>
  <c r="H42" i="10"/>
  <c r="F43" i="10"/>
  <c r="H43" i="10"/>
  <c r="F44" i="10"/>
  <c r="H44" i="10"/>
  <c r="F45" i="10"/>
  <c r="H45" i="10"/>
  <c r="F46" i="10"/>
  <c r="H46" i="10"/>
  <c r="F47" i="10"/>
  <c r="H47" i="10"/>
  <c r="F48" i="10"/>
  <c r="H48" i="10"/>
  <c r="F49" i="10"/>
  <c r="H49" i="10"/>
  <c r="H50" i="10"/>
  <c r="F52" i="10"/>
  <c r="H52" i="10" s="1"/>
  <c r="F53" i="10"/>
  <c r="H53" i="10"/>
  <c r="F54" i="10"/>
  <c r="H54" i="10"/>
  <c r="F55" i="10"/>
  <c r="H55" i="10"/>
  <c r="E37" i="9"/>
  <c r="E38" i="9"/>
  <c r="D40" i="9"/>
  <c r="N6" i="1"/>
  <c r="D38" i="9"/>
  <c r="L36" i="1"/>
  <c r="L31" i="1"/>
  <c r="L30" i="1"/>
  <c r="L37" i="1"/>
  <c r="H36" i="1"/>
  <c r="M12" i="1"/>
  <c r="M7" i="1"/>
  <c r="M6" i="1"/>
  <c r="M10" i="1"/>
  <c r="I40" i="10" l="1"/>
  <c r="F43" i="9"/>
  <c r="F41" i="9"/>
  <c r="F48" i="9"/>
  <c r="F54" i="9"/>
  <c r="F49" i="9"/>
  <c r="F50" i="9"/>
  <c r="F44" i="9"/>
  <c r="F37" i="9"/>
  <c r="F45" i="9"/>
  <c r="F51" i="9"/>
  <c r="F38" i="9"/>
  <c r="F46" i="9"/>
  <c r="F52" i="9"/>
  <c r="F39" i="9"/>
  <c r="F47" i="9"/>
  <c r="O6" i="1"/>
  <c r="R22" i="1"/>
  <c r="R21" i="1"/>
  <c r="Q21" i="1"/>
  <c r="Q22" i="1"/>
  <c r="D49" i="9"/>
  <c r="L38" i="1"/>
  <c r="H37" i="1"/>
  <c r="N13" i="1"/>
  <c r="D51" i="9"/>
  <c r="L42" i="1"/>
  <c r="H42" i="1"/>
  <c r="N18" i="1"/>
  <c r="M18" i="1"/>
  <c r="L18" i="1"/>
  <c r="S18" i="1" s="1"/>
  <c r="N4" i="1"/>
  <c r="D39" i="9"/>
  <c r="L28" i="1"/>
  <c r="H27" i="1"/>
  <c r="D44" i="9"/>
  <c r="N9" i="1"/>
  <c r="L34" i="1"/>
  <c r="H31" i="1"/>
  <c r="D43" i="9"/>
  <c r="H35" i="1"/>
  <c r="N7" i="1"/>
  <c r="T18" i="1" l="1"/>
  <c r="T21" i="1" s="1"/>
  <c r="S22" i="1"/>
  <c r="O7" i="1"/>
  <c r="O9" i="1"/>
  <c r="O18" i="1"/>
  <c r="O13" i="1"/>
  <c r="O4" i="1"/>
  <c r="S21" i="1"/>
  <c r="E40" i="9"/>
  <c r="F40" i="9"/>
  <c r="N20" i="1"/>
  <c r="N19" i="1"/>
  <c r="N17" i="1"/>
  <c r="N12" i="1"/>
  <c r="N14" i="1"/>
  <c r="N11" i="1"/>
  <c r="E51" i="9"/>
  <c r="E49" i="9"/>
  <c r="E44" i="9"/>
  <c r="E43" i="9"/>
  <c r="E42" i="9"/>
  <c r="E39" i="9"/>
  <c r="D48" i="9"/>
  <c r="E48" i="9" s="1"/>
  <c r="D53" i="9"/>
  <c r="E53" i="9" s="1"/>
  <c r="D54" i="9"/>
  <c r="E54" i="9" s="1"/>
  <c r="D52" i="9"/>
  <c r="E52" i="9" s="1"/>
  <c r="E46" i="9"/>
  <c r="D50" i="9"/>
  <c r="E50" i="9" s="1"/>
  <c r="D47" i="9"/>
  <c r="E47" i="9" s="1"/>
  <c r="E45" i="9"/>
  <c r="L39" i="1"/>
  <c r="H33" i="1"/>
  <c r="M14" i="1"/>
  <c r="L41" i="1"/>
  <c r="H43" i="1"/>
  <c r="U47" i="1"/>
  <c r="T22" i="1" l="1"/>
  <c r="O11" i="1"/>
  <c r="O16" i="1"/>
  <c r="O12" i="1"/>
  <c r="O19" i="1"/>
  <c r="O3" i="1"/>
  <c r="O17" i="1"/>
  <c r="O20" i="1"/>
  <c r="E32" i="37"/>
  <c r="E36" i="37"/>
  <c r="E40" i="37"/>
  <c r="E26" i="37"/>
  <c r="E30" i="37"/>
  <c r="E27" i="37"/>
  <c r="E25" i="37"/>
  <c r="E38" i="37"/>
  <c r="E37" i="37"/>
  <c r="E29" i="37"/>
  <c r="E33" i="37"/>
  <c r="E34" i="37"/>
  <c r="E35" i="37"/>
  <c r="E31" i="37"/>
  <c r="E41" i="37"/>
  <c r="E39" i="37"/>
  <c r="L44" i="1"/>
  <c r="L43" i="1"/>
  <c r="H38" i="1"/>
  <c r="H41" i="1"/>
  <c r="P21" i="1" l="1"/>
  <c r="O21" i="1"/>
  <c r="P22" i="1"/>
  <c r="C45" i="1"/>
  <c r="U44" i="1" l="1"/>
  <c r="V44" i="1"/>
  <c r="V47" i="1" s="1"/>
  <c r="T44" i="1"/>
  <c r="T47" i="1" s="1"/>
  <c r="L35" i="1"/>
  <c r="H34" i="1"/>
  <c r="H39" i="1"/>
  <c r="H32" i="1"/>
  <c r="H47" i="1" l="1"/>
  <c r="H46" i="1"/>
  <c r="L47" i="1"/>
  <c r="L56" i="1" s="1"/>
  <c r="L57" i="1" s="1"/>
  <c r="L46" i="1"/>
  <c r="L54" i="1" l="1"/>
  <c r="L55" i="1" s="1"/>
  <c r="H50" i="1"/>
  <c r="H51" i="1"/>
  <c r="H52" i="1" s="1"/>
  <c r="U45" i="1" l="1"/>
  <c r="U48" i="1" s="1"/>
  <c r="V45" i="1"/>
  <c r="V48" i="1" s="1"/>
  <c r="T45" i="1"/>
  <c r="T48" i="1" s="1"/>
  <c r="E22" i="1"/>
  <c r="E21" i="1"/>
  <c r="N22" i="1" l="1"/>
  <c r="O22" i="1"/>
  <c r="N21" i="1"/>
  <c r="E24" i="37"/>
  <c r="H22" i="1" l="1"/>
  <c r="H21" i="1"/>
  <c r="G22" i="1"/>
  <c r="G21" i="1"/>
  <c r="F22" i="1"/>
  <c r="F21" i="1"/>
  <c r="D22" i="1"/>
  <c r="D21" i="1"/>
  <c r="C47" i="38" l="1"/>
  <c r="C55" i="38" s="1"/>
  <c r="C57" i="38" s="1"/>
  <c r="C46" i="38"/>
  <c r="C50" i="38" l="1"/>
  <c r="C52" i="38" s="1"/>
  <c r="C49" i="38"/>
  <c r="C51" i="38" s="1"/>
  <c r="C54" i="38"/>
  <c r="C56" i="38" s="1"/>
  <c r="C46" i="3"/>
  <c r="C46" i="40"/>
  <c r="C47" i="39"/>
  <c r="C46" i="39"/>
  <c r="I22" i="1"/>
  <c r="J22" i="1"/>
  <c r="K22" i="1"/>
  <c r="I21" i="1"/>
  <c r="J21" i="1"/>
  <c r="K21" i="1"/>
  <c r="C54" i="3" l="1"/>
  <c r="C56" i="3" s="1"/>
  <c r="C49" i="3"/>
  <c r="C51" i="3" s="1"/>
  <c r="C47" i="3"/>
  <c r="C55" i="3" l="1"/>
  <c r="C57" i="3" s="1"/>
  <c r="C50" i="3"/>
  <c r="C52" i="3" s="1"/>
  <c r="A38" i="9"/>
  <c r="C49" i="31" l="1"/>
  <c r="M22" i="1"/>
  <c r="C48" i="31"/>
  <c r="L22" i="1"/>
  <c r="L21" i="1"/>
  <c r="M21" i="1"/>
  <c r="C56" i="31" l="1"/>
  <c r="C58" i="31" s="1"/>
  <c r="C57" i="31"/>
  <c r="C59" i="31" s="1"/>
  <c r="C42" i="4"/>
  <c r="C41" i="4"/>
  <c r="C45" i="2"/>
  <c r="C44" i="2"/>
  <c r="C41" i="7"/>
  <c r="C49" i="4" l="1"/>
  <c r="C51" i="4" s="1"/>
  <c r="C45" i="4"/>
  <c r="C47" i="4" s="1"/>
  <c r="C50" i="4"/>
  <c r="C52" i="4" s="1"/>
  <c r="E45" i="37"/>
  <c r="E44" i="37"/>
  <c r="E52" i="37" l="1"/>
  <c r="E54" i="37" s="1"/>
  <c r="E53" i="37"/>
  <c r="E55" i="37" s="1"/>
  <c r="C18" i="28"/>
  <c r="C17" i="28"/>
  <c r="C16" i="28"/>
  <c r="C15" i="28"/>
  <c r="C14" i="28"/>
  <c r="C13" i="28"/>
  <c r="C12" i="28"/>
  <c r="C11" i="28"/>
  <c r="C10" i="28"/>
  <c r="C9" i="28"/>
  <c r="C8" i="28"/>
  <c r="C7" i="28"/>
  <c r="C6" i="28"/>
  <c r="C5" i="28"/>
  <c r="C4" i="28"/>
  <c r="C3" i="28"/>
  <c r="C24" i="22" l="1"/>
  <c r="C13" i="21" l="1"/>
  <c r="C24" i="21"/>
  <c r="C6" i="21"/>
  <c r="C21" i="21"/>
  <c r="C32" i="21" s="1"/>
  <c r="C9" i="21"/>
  <c r="C22" i="21"/>
  <c r="C2" i="21"/>
  <c r="C26" i="21"/>
  <c r="C8" i="21"/>
  <c r="C31" i="21" s="1"/>
  <c r="C19" i="21"/>
  <c r="C14" i="21"/>
  <c r="C18" i="21"/>
  <c r="C7" i="21"/>
  <c r="C23" i="21"/>
  <c r="C11" i="21"/>
  <c r="C27" i="21"/>
  <c r="C12" i="21"/>
  <c r="C20" i="21"/>
  <c r="C5" i="21"/>
  <c r="C16" i="21"/>
  <c r="C10" i="21"/>
  <c r="C25" i="21"/>
  <c r="C4" i="21"/>
  <c r="C15" i="21"/>
  <c r="C3" i="21"/>
  <c r="C17" i="21"/>
  <c r="C36" i="21" l="1"/>
  <c r="C41" i="21" s="1"/>
  <c r="C30" i="21"/>
  <c r="C35" i="21" s="1"/>
  <c r="C40" i="21" s="1"/>
  <c r="C37" i="21"/>
  <c r="C42" i="21" s="1"/>
  <c r="C29" i="21"/>
  <c r="C34" i="21" s="1"/>
  <c r="C39" i="21" s="1"/>
  <c r="C10" i="18"/>
  <c r="C6" i="18"/>
  <c r="C8" i="18"/>
  <c r="C17" i="18" s="1"/>
  <c r="C20" i="18" s="1"/>
  <c r="B1" i="18"/>
  <c r="C16" i="18" l="1"/>
  <c r="C19" i="18" s="1"/>
  <c r="B24" i="17"/>
  <c r="C14" i="14" l="1"/>
  <c r="C13" i="14"/>
  <c r="C12" i="14"/>
  <c r="C11" i="14"/>
  <c r="C10" i="14"/>
  <c r="C9" i="14"/>
  <c r="C8" i="14"/>
  <c r="C7" i="14"/>
  <c r="C6" i="14"/>
  <c r="C5" i="14"/>
  <c r="C4" i="14"/>
  <c r="C3" i="14"/>
  <c r="C2" i="14"/>
  <c r="B1" i="1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Briana Hamawandi</author>
  </authors>
  <commentList>
    <comment ref="M5" authorId="0" shapeId="0" xr:uid="{6A1A4BA0-215D-415F-849F-5F807D2E0118}">
      <text>
        <r>
          <rPr>
            <b/>
            <sz val="9"/>
            <color indexed="81"/>
            <rFont val="Tahoma"/>
            <family val="2"/>
          </rPr>
          <t>Briana Hamawandi:</t>
        </r>
        <r>
          <rPr>
            <sz val="9"/>
            <color indexed="81"/>
            <rFont val="Tahoma"/>
            <family val="2"/>
          </rPr>
          <t xml:space="preserve">
An employee with an earned doctorate is to be compensated to the extent of $5,040.31 added to their base pay .</t>
        </r>
      </text>
    </comment>
    <comment ref="L8" authorId="0" shapeId="0" xr:uid="{64125393-2EFA-466B-A0A9-66B2D6E22FDC}">
      <text>
        <r>
          <rPr>
            <b/>
            <sz val="9"/>
            <color indexed="81"/>
            <rFont val="Tahoma"/>
            <charset val="1"/>
          </rPr>
          <t>Briana Hamawandi:</t>
        </r>
        <r>
          <rPr>
            <sz val="9"/>
            <color indexed="81"/>
            <rFont val="Tahoma"/>
            <charset val="1"/>
          </rPr>
          <t xml:space="preserve">
This cell reflects a 3.3% increase to the proposed addition of Step 34 with a value of $151,012 in Column V.</t>
        </r>
      </text>
    </comment>
    <comment ref="M8" authorId="0" shapeId="0" xr:uid="{7A7F338E-B4E4-4F5D-AB44-1DE6C3C66E43}">
      <text>
        <r>
          <rPr>
            <b/>
            <sz val="9"/>
            <color indexed="81"/>
            <rFont val="Tahoma"/>
            <family val="2"/>
          </rPr>
          <t>Briana Hamawandi:</t>
        </r>
        <r>
          <rPr>
            <sz val="9"/>
            <color indexed="81"/>
            <rFont val="Tahoma"/>
            <family val="2"/>
          </rPr>
          <t xml:space="preserve">
Doctoral Stipend $2,419</t>
        </r>
      </text>
    </comment>
    <comment ref="M10" authorId="0" shapeId="0" xr:uid="{BBA1B927-F0F8-46B5-8C48-37072EF7A7D8}">
      <text>
        <r>
          <rPr>
            <b/>
            <sz val="9"/>
            <color indexed="81"/>
            <rFont val="Tahoma"/>
            <family val="2"/>
          </rPr>
          <t>Briana Hamawandi:</t>
        </r>
        <r>
          <rPr>
            <sz val="9"/>
            <color indexed="81"/>
            <rFont val="Tahoma"/>
            <family val="2"/>
          </rPr>
          <t xml:space="preserve">
Doctoral Stipend $2,419</t>
        </r>
      </text>
    </comment>
    <comment ref="L18" authorId="0" shapeId="0" xr:uid="{471B0CDA-4E35-4616-BD15-3D149752D2BE}">
      <text>
        <r>
          <rPr>
            <b/>
            <sz val="9"/>
            <color indexed="81"/>
            <rFont val="Tahoma"/>
            <family val="2"/>
          </rPr>
          <t>Briana Hamawandi:</t>
        </r>
        <r>
          <rPr>
            <sz val="9"/>
            <color indexed="81"/>
            <rFont val="Tahoma"/>
            <family val="2"/>
          </rPr>
          <t xml:space="preserve">
$2,332 stipend for multiple master's degrees</t>
        </r>
      </text>
    </comment>
    <comment ref="C63" authorId="0" shapeId="0" xr:uid="{9A1B1A24-AD19-4BDD-82A3-534B2F5CDD8A}">
      <text>
        <r>
          <rPr>
            <b/>
            <sz val="12"/>
            <color indexed="81"/>
            <rFont val="Arial"/>
            <family val="2"/>
          </rPr>
          <t>Briana Hamawandi:</t>
        </r>
        <r>
          <rPr>
            <sz val="12"/>
            <color indexed="81"/>
            <rFont val="Arial"/>
            <family val="2"/>
          </rPr>
          <t xml:space="preserve">
Number of members released will be a maximum of three (3) (or the same number as the District’s team, whichever is greater). (Per Art. 9 Section 15(C)1)</t>
        </r>
      </text>
    </comment>
    <comment ref="C69" authorId="0" shapeId="0" xr:uid="{C4955D27-2A76-49C4-AF20-CE0F4B3F9A94}">
      <text>
        <r>
          <rPr>
            <b/>
            <sz val="9"/>
            <color indexed="81"/>
            <rFont val="Tahoma"/>
            <family val="2"/>
          </rPr>
          <t>Briana Hamawandi:</t>
        </r>
        <r>
          <rPr>
            <sz val="9"/>
            <color indexed="81"/>
            <rFont val="Tahoma"/>
            <family val="2"/>
          </rPr>
          <t xml:space="preserve">
Association may purcjase up to a total of .8 FTE reassigned time.</t>
        </r>
      </text>
    </comment>
    <comment ref="C70" authorId="0" shapeId="0" xr:uid="{396F9F5A-3A79-4C9F-945A-674E6A197E9F}">
      <text>
        <r>
          <rPr>
            <b/>
            <sz val="9"/>
            <color indexed="81"/>
            <rFont val="Tahoma"/>
            <family val="2"/>
          </rPr>
          <t>Briana Hamawandi:</t>
        </r>
        <r>
          <rPr>
            <sz val="9"/>
            <color indexed="81"/>
            <rFont val="Tahoma"/>
            <family val="2"/>
          </rPr>
          <t xml:space="preserve">
50% of a full-time load given to WHCFA for purposes of negotiations, grievance processing, and positive relations between District and Association.</t>
        </r>
      </text>
    </comment>
    <comment ref="C71" authorId="0" shapeId="0" xr:uid="{95546B80-5729-41F0-9B84-7E33BE915E96}">
      <text>
        <r>
          <rPr>
            <b/>
            <sz val="9"/>
            <color indexed="81"/>
            <rFont val="Tahoma"/>
            <family val="2"/>
          </rPr>
          <t>Briana Hamawandi:</t>
        </r>
        <r>
          <rPr>
            <sz val="9"/>
            <color indexed="81"/>
            <rFont val="Tahoma"/>
            <family val="2"/>
          </rPr>
          <t xml:space="preserve">
Given 10 working days
10/175 = 0.057</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Briana Hamawandi</author>
  </authors>
  <commentList>
    <comment ref="C29" authorId="0" shapeId="0" xr:uid="{54D9B3E7-F840-496D-8FB7-67C9296D378D}">
      <text>
        <r>
          <rPr>
            <b/>
            <sz val="9"/>
            <color indexed="81"/>
            <rFont val="Tahoma"/>
            <charset val="1"/>
          </rPr>
          <t>Briana Hamawandi:</t>
        </r>
        <r>
          <rPr>
            <sz val="9"/>
            <color indexed="81"/>
            <rFont val="Tahoma"/>
            <charset val="1"/>
          </rPr>
          <t xml:space="preserve">
This cell reflects a 3.3% increase to the proposed addition of Step 34 with a value of $151,012 in Column V.</t>
        </r>
      </text>
    </comment>
    <comment ref="C41" authorId="0" shapeId="0" xr:uid="{F529D8B3-DC64-47E5-9A3E-E747957D57B4}">
      <text>
        <r>
          <rPr>
            <b/>
            <sz val="9"/>
            <color indexed="81"/>
            <rFont val="Tahoma"/>
            <family val="2"/>
          </rPr>
          <t>Briana Hamawandi:</t>
        </r>
        <r>
          <rPr>
            <sz val="9"/>
            <color indexed="81"/>
            <rFont val="Tahoma"/>
            <family val="2"/>
          </rPr>
          <t xml:space="preserve">
$2,332 stipend for multiple master's degrees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Briana Hamawandi</author>
  </authors>
  <commentList>
    <comment ref="C24" authorId="0" shapeId="0" xr:uid="{13FCFB28-317C-410C-87FC-F45212B5705F}">
      <text>
        <r>
          <rPr>
            <b/>
            <sz val="9"/>
            <color indexed="81"/>
            <rFont val="Tahoma"/>
            <family val="2"/>
          </rPr>
          <t>Briana Hamawandi:</t>
        </r>
        <r>
          <rPr>
            <sz val="9"/>
            <color indexed="81"/>
            <rFont val="Tahoma"/>
            <family val="2"/>
          </rPr>
          <t xml:space="preserve">
An employee with an earned doctorate is to be compensated to the extent of $5,040.31 added to their base pay .</t>
        </r>
      </text>
    </comment>
    <comment ref="C27" authorId="0" shapeId="0" xr:uid="{427399A4-790B-463A-B210-0D0F38B9F227}">
      <text>
        <r>
          <rPr>
            <b/>
            <sz val="9"/>
            <color indexed="81"/>
            <rFont val="Tahoma"/>
            <family val="2"/>
          </rPr>
          <t>Briana Hamawandi:</t>
        </r>
        <r>
          <rPr>
            <sz val="9"/>
            <color indexed="81"/>
            <rFont val="Tahoma"/>
            <family val="2"/>
          </rPr>
          <t xml:space="preserve">
Doctoral Stipend $2,419</t>
        </r>
      </text>
    </comment>
    <comment ref="C29" authorId="0" shapeId="0" xr:uid="{A85C9E9E-FFB7-4F46-8574-90858429D9FD}">
      <text>
        <r>
          <rPr>
            <b/>
            <sz val="9"/>
            <color indexed="81"/>
            <rFont val="Tahoma"/>
            <family val="2"/>
          </rPr>
          <t>Briana Hamawandi:</t>
        </r>
        <r>
          <rPr>
            <sz val="9"/>
            <color indexed="81"/>
            <rFont val="Tahoma"/>
            <family val="2"/>
          </rPr>
          <t xml:space="preserve">
Doctoral Stipend $2,419</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Briana Hamawandi</author>
  </authors>
  <commentList>
    <comment ref="C28" authorId="0" shapeId="0" xr:uid="{6BF2A5F0-140B-4EF3-9DF5-9259DF22BD91}">
      <text>
        <r>
          <rPr>
            <b/>
            <sz val="9"/>
            <color indexed="81"/>
            <rFont val="Tahoma"/>
            <charset val="1"/>
          </rPr>
          <t>Briana Hamawandi:</t>
        </r>
        <r>
          <rPr>
            <sz val="9"/>
            <color indexed="81"/>
            <rFont val="Tahoma"/>
            <charset val="1"/>
          </rPr>
          <t xml:space="preserve">
This cell reflects a 3.3% increase to the proposed addition of Step 34 with a value of $151,012 in Column V.</t>
        </r>
      </text>
    </comment>
    <comment ref="C38" authorId="0" shapeId="0" xr:uid="{F6B37EC1-9E92-42BA-A705-0790110621D4}">
      <text>
        <r>
          <rPr>
            <b/>
            <sz val="9"/>
            <color indexed="81"/>
            <rFont val="Tahoma"/>
            <family val="2"/>
          </rPr>
          <t>Briana Hamawandi:</t>
        </r>
        <r>
          <rPr>
            <sz val="9"/>
            <color indexed="81"/>
            <rFont val="Tahoma"/>
            <family val="2"/>
          </rPr>
          <t xml:space="preserve">
$2,332 stipend for multiple master's degrees</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Briana Hamawandi</author>
  </authors>
  <commentList>
    <comment ref="C40" authorId="0" shapeId="0" xr:uid="{7C7C30E6-5206-463C-A477-21E00997E3E8}">
      <text>
        <r>
          <rPr>
            <b/>
            <sz val="9"/>
            <color indexed="81"/>
            <rFont val="Tahoma"/>
            <charset val="1"/>
          </rPr>
          <t>Briana Hamawandi:</t>
        </r>
        <r>
          <rPr>
            <sz val="9"/>
            <color indexed="81"/>
            <rFont val="Tahoma"/>
            <charset val="1"/>
          </rPr>
          <t xml:space="preserve">
This cell reflects a 3.3% increase to the proposed addition of Step 34 with a value of $151,012 in Column V.</t>
        </r>
      </text>
    </comment>
    <comment ref="C51" authorId="0" shapeId="0" xr:uid="{78C82CD0-7CF2-49EA-B080-E2C3ABF1A718}">
      <text>
        <r>
          <rPr>
            <b/>
            <sz val="9"/>
            <color indexed="81"/>
            <rFont val="Tahoma"/>
            <family val="2"/>
          </rPr>
          <t>Briana Hamawandi:</t>
        </r>
        <r>
          <rPr>
            <sz val="9"/>
            <color indexed="81"/>
            <rFont val="Tahoma"/>
            <family val="2"/>
          </rPr>
          <t xml:space="preserve">
$2,332 stipend for multiple master's degrees</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Briana Hamawandi</author>
  </authors>
  <commentList>
    <comment ref="C40" authorId="0" shapeId="0" xr:uid="{4BA04F6E-CA69-4E75-A4AB-9D30F2A27281}">
      <text>
        <r>
          <rPr>
            <b/>
            <sz val="9"/>
            <color indexed="81"/>
            <rFont val="Tahoma"/>
            <family val="2"/>
          </rPr>
          <t>Briana Hamawandi:</t>
        </r>
        <r>
          <rPr>
            <sz val="9"/>
            <color indexed="81"/>
            <rFont val="Tahoma"/>
            <family val="2"/>
          </rPr>
          <t xml:space="preserve">
$2,332 stipend for multiple master's degrees</t>
        </r>
      </text>
    </comment>
    <comment ref="C51" authorId="0" shapeId="0" xr:uid="{28031AAC-F778-48F1-B518-0926C98BD126}">
      <text>
        <r>
          <rPr>
            <b/>
            <sz val="9"/>
            <color indexed="81"/>
            <rFont val="Tahoma"/>
            <charset val="1"/>
          </rPr>
          <t>Briana Hamawandi:</t>
        </r>
        <r>
          <rPr>
            <sz val="9"/>
            <color indexed="81"/>
            <rFont val="Tahoma"/>
            <charset val="1"/>
          </rPr>
          <t xml:space="preserve">
This cell reflects a 3.3% increase to the proposed addition of Step 34 with a value of $151,012 in Column V.</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Rachel Napier</author>
  </authors>
  <commentList>
    <comment ref="C4" authorId="0" shapeId="0" xr:uid="{00000000-0006-0000-1300-000001000000}">
      <text>
        <r>
          <rPr>
            <b/>
            <sz val="9"/>
            <color indexed="81"/>
            <rFont val="Tahoma"/>
            <family val="2"/>
          </rPr>
          <t>Rachel Napier:</t>
        </r>
        <r>
          <rPr>
            <sz val="9"/>
            <color indexed="81"/>
            <rFont val="Tahoma"/>
            <family val="2"/>
          </rPr>
          <t xml:space="preserve">
Director of EOPS/CARE. 
The survey detail included this position as an administrator. </t>
        </r>
      </text>
    </comment>
    <comment ref="C14" authorId="0" shapeId="0" xr:uid="{00000000-0006-0000-1300-000002000000}">
      <text>
        <r>
          <rPr>
            <b/>
            <sz val="9"/>
            <color indexed="81"/>
            <rFont val="Tahoma"/>
            <family val="2"/>
          </rPr>
          <t>Rachel Napier:</t>
        </r>
        <r>
          <rPr>
            <sz val="9"/>
            <color indexed="81"/>
            <rFont val="Tahoma"/>
            <family val="2"/>
          </rPr>
          <t xml:space="preserve">
Director of EOPS/CARE. 
The survey detail included this position as an administrator. </t>
        </r>
      </text>
    </comment>
  </commentList>
</comments>
</file>

<file path=xl/sharedStrings.xml><?xml version="1.0" encoding="utf-8"?>
<sst xmlns="http://schemas.openxmlformats.org/spreadsheetml/2006/main" count="694" uniqueCount="198">
  <si>
    <t xml:space="preserve">Kern CCD 2018-2019 </t>
  </si>
  <si>
    <t>Feather River 2018-2019</t>
  </si>
  <si>
    <t>DISTRICT</t>
  </si>
  <si>
    <t>Lake Tahoe 2018-2019</t>
  </si>
  <si>
    <t>Lassen 2018-2019</t>
  </si>
  <si>
    <t>Barstow 2018-2019</t>
  </si>
  <si>
    <t>Mendocino 2018-2019</t>
  </si>
  <si>
    <t>Copper Mountain 2018-2019</t>
  </si>
  <si>
    <t>Palo Verde 2018-2019</t>
  </si>
  <si>
    <t>Siskiyous 2016-2017</t>
  </si>
  <si>
    <t>Desert 2018-2019</t>
  </si>
  <si>
    <t>San Bernardino 2018-2019</t>
  </si>
  <si>
    <t>Riverside 2018-2019</t>
  </si>
  <si>
    <t>Mt. San Jacinto 2017-2018</t>
  </si>
  <si>
    <t>COLI</t>
  </si>
  <si>
    <t>Comparative District's Equivalent Standard of Living in Blythe</t>
  </si>
  <si>
    <t xml:space="preserve">Read as follows: </t>
  </si>
  <si>
    <t>Equivalent Standard of Living in Comparative District</t>
  </si>
  <si>
    <t>Low Salary</t>
  </si>
  <si>
    <t>Contract Days</t>
  </si>
  <si>
    <t>Lab Rate</t>
  </si>
  <si>
    <t>*varying lab rates</t>
  </si>
  <si>
    <t>Feather River 2018-2019*</t>
  </si>
  <si>
    <t>Riverside 2018-2019*</t>
  </si>
  <si>
    <t>Siskiyous 2016-2017*</t>
  </si>
  <si>
    <t xml:space="preserve">Riverside 2018-2019 High </t>
  </si>
  <si>
    <t>Riverside 2018-2019 Low</t>
  </si>
  <si>
    <t>*Excludes Cost of Benefits</t>
  </si>
  <si>
    <t>Daily Rate*</t>
  </si>
  <si>
    <t>District</t>
  </si>
  <si>
    <t>Mt. San Jacinto 2017-2018 High</t>
  </si>
  <si>
    <t>Kern CCD 2018-2019 High</t>
  </si>
  <si>
    <t>Desert 2018-2019 High</t>
  </si>
  <si>
    <t>San Bernardino 2018-2019 High</t>
  </si>
  <si>
    <t>Barstow 2018-2019 High</t>
  </si>
  <si>
    <t>Mendocino 2018-2019 High</t>
  </si>
  <si>
    <t>Lassen 2018-2019 High</t>
  </si>
  <si>
    <t>Siskiyous 2016-2017 High</t>
  </si>
  <si>
    <t>Feather River 2018-2019 High</t>
  </si>
  <si>
    <t>Copper Mountain 2018-2019 High</t>
  </si>
  <si>
    <t>Lake Tahoe 2018-2019 High</t>
  </si>
  <si>
    <t>Palo Verde 2018-2019 High</t>
  </si>
  <si>
    <t>Kern CCD 2018-2019 Low</t>
  </si>
  <si>
    <t>Lassen 2018-2019 Low</t>
  </si>
  <si>
    <t>Mendocino 2018-2019 Low</t>
  </si>
  <si>
    <t>Feather River 2018-2019 Low</t>
  </si>
  <si>
    <t>San Bernardino 2018-2019 Low</t>
  </si>
  <si>
    <t>Palo Verde 2018-2019 Low</t>
  </si>
  <si>
    <t>Barstow 2018-2019 Low</t>
  </si>
  <si>
    <t>Siskiyous 2016-2016 Low</t>
  </si>
  <si>
    <t>Lake Tahoe 2018-2019 Low</t>
  </si>
  <si>
    <t>Mt. San Jacinto 2017-2018 Low</t>
  </si>
  <si>
    <t>Copper Mountain 2018-2019 Low</t>
  </si>
  <si>
    <t>Annual Release Time*</t>
  </si>
  <si>
    <t>*translated to full-time equivalency</t>
  </si>
  <si>
    <t>Upon Approval</t>
  </si>
  <si>
    <t>Not Specified</t>
  </si>
  <si>
    <t>SALARY SCHEDULE DAILY RATE</t>
  </si>
  <si>
    <t>*Administrator with 250 day assignments</t>
  </si>
  <si>
    <t>PVC Comp Study Admin. High</t>
  </si>
  <si>
    <t>PVC Comp Study Director High</t>
  </si>
  <si>
    <t>PVC Comp Study Admin. Low</t>
  </si>
  <si>
    <t>PVC Comp Study Director Low</t>
  </si>
  <si>
    <t>AMC, Row 12, Step 1</t>
  </si>
  <si>
    <t>AMC, Row 5, Step 12</t>
  </si>
  <si>
    <t>AMC, Row 16, Step 1</t>
  </si>
  <si>
    <t>AMC, Row 8, Step 12</t>
  </si>
  <si>
    <t>AMC, Row 12, Step 12</t>
  </si>
  <si>
    <t>AMC, Row 16, Step 12</t>
  </si>
  <si>
    <t>AMC, Row 1, Step 12</t>
  </si>
  <si>
    <t>PVC Faculty 2018-2019 Low</t>
  </si>
  <si>
    <t>PVC Faculty 2018-2019 High</t>
  </si>
  <si>
    <t>AMC, Row 8, Step 1</t>
  </si>
  <si>
    <t>AMC, Row 5, Step 1</t>
  </si>
  <si>
    <t>AMC, Row 1, Step1</t>
  </si>
  <si>
    <t>Desert 2018-2019 Low</t>
  </si>
  <si>
    <t>AVERAGE:</t>
  </si>
  <si>
    <t>MEDIAN:</t>
  </si>
  <si>
    <t>PVC is below average:</t>
  </si>
  <si>
    <t>PVC below the median:</t>
  </si>
  <si>
    <t>AVERAGE HIGH:</t>
  </si>
  <si>
    <t>AVERAGE LOW:</t>
  </si>
  <si>
    <t>MEDIAN HIGH:</t>
  </si>
  <si>
    <t>MEDIAN LOW:</t>
  </si>
  <si>
    <t>PVC is below average high:</t>
  </si>
  <si>
    <t>PVC is below average low:</t>
  </si>
  <si>
    <t xml:space="preserve">PVC is below median high: </t>
  </si>
  <si>
    <t>PVC below the median low:</t>
  </si>
  <si>
    <t>To match average:</t>
  </si>
  <si>
    <t>To match median:</t>
  </si>
  <si>
    <t>To match the average high:</t>
  </si>
  <si>
    <t>To match the average low:</t>
  </si>
  <si>
    <t xml:space="preserve">To match the median high: </t>
  </si>
  <si>
    <t>To match the median low:</t>
  </si>
  <si>
    <t>"Reasonable"</t>
  </si>
  <si>
    <t>Year</t>
  </si>
  <si>
    <t>High Salary (Doctorate)</t>
  </si>
  <si>
    <t>High Salary (MA+)</t>
  </si>
  <si>
    <t>Distance</t>
  </si>
  <si>
    <t>Median:</t>
  </si>
  <si>
    <t>Average</t>
  </si>
  <si>
    <t>Low Salary (MA Only)</t>
  </si>
  <si>
    <t>Read as follows:</t>
  </si>
  <si>
    <t>*Sorted by "Equivalent Standard of Living"</t>
  </si>
  <si>
    <t>Daily Rate</t>
  </si>
  <si>
    <t>Average:</t>
  </si>
  <si>
    <t xml:space="preserve">rank </t>
  </si>
  <si>
    <t>Average (Mean) (Current)</t>
  </si>
  <si>
    <t>Median (Current)</t>
  </si>
  <si>
    <t>Current Average:</t>
  </si>
  <si>
    <t>Current Median:</t>
  </si>
  <si>
    <t>*Sorted by "Equivalent Standard of Living in Comparative District"</t>
  </si>
  <si>
    <t>Difference (currently)</t>
  </si>
  <si>
    <t xml:space="preserve">MA + 30 Units + 10 Years </t>
  </si>
  <si>
    <t xml:space="preserve">MA + 60 Units + 20 Years </t>
  </si>
  <si>
    <t>College of the Sequoias (2021-2024)</t>
  </si>
  <si>
    <t xml:space="preserve">MA+5 Years </t>
  </si>
  <si>
    <t>MA+30 Units+10 Years</t>
  </si>
  <si>
    <t xml:space="preserve">MA+60 Units+20 Years </t>
  </si>
  <si>
    <t>"necessary release time"</t>
  </si>
  <si>
    <t>5 faculty members "released as needed"</t>
  </si>
  <si>
    <t>Annual Release Time (Negotiations)</t>
  </si>
  <si>
    <t>"reasonable release time"</t>
  </si>
  <si>
    <t>None Specified</t>
  </si>
  <si>
    <t>Daily Rate Low Salary</t>
  </si>
  <si>
    <t>Daily Rate High Doctorate Salary</t>
  </si>
  <si>
    <t>Lab Rate*</t>
  </si>
  <si>
    <t xml:space="preserve">District </t>
  </si>
  <si>
    <t>Credit FTES</t>
  </si>
  <si>
    <t>Non-Credit FTES</t>
  </si>
  <si>
    <t>Total FTES</t>
  </si>
  <si>
    <t>Cabrillo Community College District (2022-2025)</t>
  </si>
  <si>
    <t>San Luis Obispo County Community College District (2023-2025)</t>
  </si>
  <si>
    <t>2024-2025</t>
  </si>
  <si>
    <t>Kern Community College District (2023-2026)</t>
  </si>
  <si>
    <t>Gavilan Community College District (2024-2027)</t>
  </si>
  <si>
    <t>West Kern Community College District (Taft College) (2023-2026)</t>
  </si>
  <si>
    <t xml:space="preserve">State Center Community College District (2022-2025) </t>
  </si>
  <si>
    <t>Monterey - Peninsula Community College District (2022-2025)</t>
  </si>
  <si>
    <t>Merced Community College District (2024-2027)</t>
  </si>
  <si>
    <t>Hartnell Community College District (2022-2025)</t>
  </si>
  <si>
    <t xml:space="preserve">Yosemite Community College District (2023-2026) </t>
  </si>
  <si>
    <t xml:space="preserve">West Hills Community College District (2022-2025) </t>
  </si>
  <si>
    <t>Low Salary 
(MA Only)</t>
  </si>
  <si>
    <t>Equivalent Standard of Living in Fresno</t>
  </si>
  <si>
    <t>SCCCD above median:</t>
  </si>
  <si>
    <t>SCCCD below average:</t>
  </si>
  <si>
    <t>SCCCD above Avg:</t>
  </si>
  <si>
    <r>
      <rPr>
        <sz val="12"/>
        <rFont val="Arial"/>
        <family val="2"/>
      </rPr>
      <t>SCCCD above Med</t>
    </r>
    <r>
      <rPr>
        <sz val="12"/>
        <color theme="1"/>
        <rFont val="Arial"/>
        <family val="2"/>
      </rPr>
      <t>:</t>
    </r>
  </si>
  <si>
    <t>Full-Time-Equivalent-Students (FTES) 2023-24</t>
  </si>
  <si>
    <t>Total FTES (2023-24)</t>
  </si>
  <si>
    <t>Los Rios Community College District (2023-2026)</t>
  </si>
  <si>
    <t>Allan Hancock CCD (2024-2027)</t>
  </si>
  <si>
    <t>Ventura County CCD (2022-2025)</t>
  </si>
  <si>
    <t>Contra Costa Community College District (2022-2025)</t>
  </si>
  <si>
    <t>San Joaquin Delta (2024-2027)</t>
  </si>
  <si>
    <t>"reasonable periods"</t>
  </si>
  <si>
    <t>San Joaquin Delta CCD (2024-2027)</t>
  </si>
  <si>
    <t>"reasonable reassigned time"</t>
  </si>
  <si>
    <t>College of the Sequoias (2024-2027)</t>
  </si>
  <si>
    <t>Sorted by "High Salary (Doctorate)"</t>
  </si>
  <si>
    <t>Daily Rate Low</t>
  </si>
  <si>
    <t>Daily Rate High Doctorate</t>
  </si>
  <si>
    <t>State Center CCD High Salary (MA+)</t>
  </si>
  <si>
    <t>State Center CCD provides a compensation that is $[amount above] higher/lower than what would be required to maintain the same comparative standard of living in Fresno, CA based upon total compensation $[high+benefits] in the comparative district.</t>
  </si>
  <si>
    <r>
      <t>E.g. To maintain the same standard of living at State Center CCD, a West Kern College employee earning $145,619 would receive a total compensation of $148,968.24 in Fresno, CA; which is $1,622.24 more</t>
    </r>
    <r>
      <rPr>
        <i/>
        <sz val="12"/>
        <color theme="1"/>
        <rFont val="Arial"/>
        <family val="2"/>
      </rPr>
      <t xml:space="preserve"> than what State Center pays</t>
    </r>
    <r>
      <rPr>
        <sz val="12"/>
        <color theme="1"/>
        <rFont val="Arial"/>
        <family val="2"/>
      </rPr>
      <t>.</t>
    </r>
  </si>
  <si>
    <t>Compensation of $147,346 in Fresno, CA would need to be increased/decreased to $[amount above] in compartive district in order to maintain same or similar standard of living.</t>
  </si>
  <si>
    <t>2025-2026</t>
  </si>
  <si>
    <t>Unlimited release time</t>
  </si>
  <si>
    <t>State Center Community College District (2022-2025)</t>
  </si>
  <si>
    <t>Difference (+2.3%)</t>
  </si>
  <si>
    <t>&lt;- Difference (currently)</t>
  </si>
  <si>
    <t>SCCCD's Equivalent Standard of Living in Comparative District (with High Salary MA+)</t>
  </si>
  <si>
    <t>Equivalent Standard of Living in Fresno 
(with High Salary MA+)</t>
  </si>
  <si>
    <t xml:space="preserve">&lt;- Difference (Currently) </t>
  </si>
  <si>
    <t>&lt;-&lt;- Difference (+2.3%)</t>
  </si>
  <si>
    <r>
      <t xml:space="preserve">State Center CCD is $_____ </t>
    </r>
    <r>
      <rPr>
        <b/>
        <sz val="12"/>
        <rFont val="Arial"/>
        <family val="2"/>
      </rPr>
      <t>above</t>
    </r>
    <r>
      <rPr>
        <b/>
        <sz val="12"/>
        <color theme="1"/>
        <rFont val="Arial"/>
        <family val="2"/>
      </rPr>
      <t xml:space="preserve"> average:</t>
    </r>
  </si>
  <si>
    <r>
      <t xml:space="preserve">State Center CCD is $_____ </t>
    </r>
    <r>
      <rPr>
        <b/>
        <sz val="12"/>
        <rFont val="Arial"/>
        <family val="2"/>
      </rPr>
      <t>above</t>
    </r>
    <r>
      <rPr>
        <b/>
        <sz val="12"/>
        <color theme="1"/>
        <rFont val="Arial"/>
        <family val="2"/>
      </rPr>
      <t xml:space="preserve"> median:</t>
    </r>
  </si>
  <si>
    <r>
      <t xml:space="preserve">State Center Community College District currently provides compensation that is $[Difference (Currently)] higher/lower than the what would be required to maintain an equivalent standard of living in Fresno, CA in comparison to each comparative district.
e.g. In order to maintain an equivalent standard of living in Fresno, CA, a Merced College employee earning $154,982 would require compensation of $144,753.19 in Fresno, CA, which is </t>
    </r>
    <r>
      <rPr>
        <i/>
        <sz val="12"/>
        <color theme="1"/>
        <rFont val="Arial"/>
        <family val="2"/>
      </rPr>
      <t>$2,592.81 less</t>
    </r>
    <r>
      <rPr>
        <sz val="12"/>
        <color theme="1"/>
        <rFont val="Arial"/>
        <family val="2"/>
      </rPr>
      <t xml:space="preserve"> than what State Center College currently pays ($147,346).
Furthermore, an equivalent standard of living of $144,753.19 in Fresno, CA would be </t>
    </r>
    <r>
      <rPr>
        <i/>
        <sz val="12"/>
        <color theme="1"/>
        <rFont val="Arial"/>
        <family val="2"/>
      </rPr>
      <t>$5,981.77 less</t>
    </r>
    <r>
      <rPr>
        <sz val="12"/>
        <color theme="1"/>
        <rFont val="Arial"/>
        <family val="2"/>
      </rPr>
      <t xml:space="preserve"> than what State Center College would be paying with a +2.3% increase.</t>
    </r>
  </si>
  <si>
    <r>
      <t xml:space="preserve">
In order to maintain a equivalent standard of living in the comparative district, someone at State Center Community College District earning $147,346 (in Fresno, CA), would require $[amount above] in the comparative district.
e.g. To maintain the same standard of living in Merced, a State Center employee earning $147,346 would need to earn $157,807.57 in Merced, CA in order to maintain the same standard of living; which is</t>
    </r>
    <r>
      <rPr>
        <i/>
        <sz val="12"/>
        <color theme="1"/>
        <rFont val="Arial"/>
        <family val="2"/>
      </rPr>
      <t xml:space="preserve"> $2,825.57 more</t>
    </r>
    <r>
      <rPr>
        <sz val="12"/>
        <color theme="1"/>
        <rFont val="Arial"/>
        <family val="2"/>
      </rPr>
      <t xml:space="preserve"> than what Merced CCD currently pays($154,982).
Furthermore, someone earning $150,734 in Fresno, CA($147,346 + 2.3% increase) would need to earn $161,437 at Merced College to maintain a equivalent standard of living, which would be </t>
    </r>
    <r>
      <rPr>
        <i/>
        <sz val="12"/>
        <color theme="1"/>
        <rFont val="Arial"/>
        <family val="2"/>
      </rPr>
      <t xml:space="preserve">$6,455.14 more </t>
    </r>
    <r>
      <rPr>
        <sz val="12"/>
        <color theme="1"/>
        <rFont val="Arial"/>
        <family val="2"/>
      </rPr>
      <t xml:space="preserve">than what Merced College currently pays.
</t>
    </r>
  </si>
  <si>
    <r>
      <t xml:space="preserve">To maintain the same standard of living at San Luis Obispo CCD, a State Center CCD employee earning $147,346 would need to earn $214,830.47 in San Luis Obispo, CA in order to maintain the same standard of living; which is </t>
    </r>
    <r>
      <rPr>
        <i/>
        <sz val="12"/>
        <color theme="1"/>
        <rFont val="Arial"/>
        <family val="2"/>
      </rPr>
      <t>$73,167.47</t>
    </r>
    <r>
      <rPr>
        <sz val="12"/>
        <color theme="1"/>
        <rFont val="Arial"/>
        <family val="2"/>
      </rPr>
      <t xml:space="preserve"> </t>
    </r>
    <r>
      <rPr>
        <i/>
        <sz val="12"/>
        <color theme="1"/>
        <rFont val="Arial"/>
        <family val="2"/>
      </rPr>
      <t>more than what San Luis Obispo CCD pays.</t>
    </r>
    <r>
      <rPr>
        <sz val="12"/>
        <color theme="1"/>
        <rFont val="Arial"/>
        <family val="2"/>
      </rPr>
      <t xml:space="preserve"> </t>
    </r>
  </si>
  <si>
    <t>State Center Community College District (2022-2025) + 3.3%</t>
  </si>
  <si>
    <r>
      <t xml:space="preserve">State Center CCD + 3.3% would be $_____ </t>
    </r>
    <r>
      <rPr>
        <b/>
        <sz val="12"/>
        <rFont val="Arial"/>
        <family val="2"/>
      </rPr>
      <t>above</t>
    </r>
    <r>
      <rPr>
        <b/>
        <sz val="12"/>
        <color theme="1"/>
        <rFont val="Arial"/>
        <family val="2"/>
      </rPr>
      <t xml:space="preserve"> average:</t>
    </r>
  </si>
  <si>
    <r>
      <t xml:space="preserve">State Center CCD + 3.3% would be $_____ </t>
    </r>
    <r>
      <rPr>
        <b/>
        <sz val="12"/>
        <rFont val="Arial"/>
        <family val="2"/>
      </rPr>
      <t>above</t>
    </r>
    <r>
      <rPr>
        <b/>
        <sz val="12"/>
        <color theme="1"/>
        <rFont val="Arial"/>
        <family val="2"/>
      </rPr>
      <t xml:space="preserve"> median:</t>
    </r>
  </si>
  <si>
    <t>These cells reflect a 3.3% increase to the proposed addition of Step 34 with a value of $151,012 in Column V.</t>
  </si>
  <si>
    <t>Equivalent Standard of Living in Comparative District (+ 3.3%)</t>
  </si>
  <si>
    <t>Difference (currently) +3.3%</t>
  </si>
  <si>
    <t>State Center CCD High Salary (MA+) + 3.3%</t>
  </si>
  <si>
    <t xml:space="preserve">State Center Community College District (2022-2025) + 3.3% </t>
  </si>
  <si>
    <t>SCCCD +3.3% above average:</t>
  </si>
  <si>
    <t>SCCCD +3.3% above median:</t>
  </si>
  <si>
    <t>SCCCD's Equivalent Standard of Living in Comparative District (with High Salary MA+) + 3.3%</t>
  </si>
  <si>
    <t xml:space="preserve">&lt;-&lt;- Difference (+3.3%)   </t>
  </si>
  <si>
    <r>
      <t xml:space="preserve">State Center CCD is $_____ </t>
    </r>
    <r>
      <rPr>
        <b/>
        <sz val="12"/>
        <rFont val="Arial"/>
        <family val="2"/>
      </rPr>
      <t>below</t>
    </r>
    <r>
      <rPr>
        <b/>
        <sz val="12"/>
        <color theme="1"/>
        <rFont val="Arial"/>
        <family val="2"/>
      </rPr>
      <t xml:space="preserve"> average:</t>
    </r>
  </si>
  <si>
    <r>
      <t xml:space="preserve">State Center CCD is $_____ </t>
    </r>
    <r>
      <rPr>
        <b/>
        <sz val="12"/>
        <rFont val="Arial"/>
        <family val="2"/>
      </rPr>
      <t>below</t>
    </r>
    <r>
      <rPr>
        <b/>
        <sz val="12"/>
        <color theme="1"/>
        <rFont val="Arial"/>
        <family val="2"/>
      </rPr>
      <t xml:space="preserve"> median:</t>
    </r>
  </si>
  <si>
    <t>SCCCD is below the median:</t>
  </si>
  <si>
    <t>District has not posted updated salary schedule.</t>
  </si>
  <si>
    <r>
      <t xml:space="preserve">STATE CENTER COMMUNITY COLLEGE FACULTY COMPENSATION COMPARISON (12 Districts) 2024-2026
</t>
    </r>
    <r>
      <rPr>
        <b/>
        <i/>
        <sz val="16"/>
        <color theme="0"/>
        <rFont val="Arial"/>
        <family val="2"/>
      </rPr>
      <t>Updated as of 10/24/25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</si>
</sst>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8" formatCode="&quot;$&quot;#,##0.00_);[Red]\(&quot;$&quot;#,##0.00\)"/>
    <numFmt numFmtId="44" formatCode="_(&quot;$&quot;* #,##0.00_);_(&quot;$&quot;* \(#,##0.00\);_(&quot;$&quot;* &quot;-&quot;??_);_(@_)"/>
    <numFmt numFmtId="43" formatCode="_(* #,##0.00_);_(* \(#,##0.00\);_(* &quot;-&quot;??_);_(@_)"/>
    <numFmt numFmtId="164" formatCode="0.000"/>
    <numFmt numFmtId="165" formatCode="0.0"/>
    <numFmt numFmtId="166" formatCode="0.0%"/>
  </numFmts>
  <fonts count="39" x14ac:knownFonts="1">
    <font>
      <sz val="11"/>
      <color theme="1"/>
      <name val="Calibri"/>
      <family val="2"/>
      <scheme val="minor"/>
    </font>
    <font>
      <b/>
      <sz val="11"/>
      <color theme="1"/>
      <name val="Calibri"/>
      <family val="2"/>
      <scheme val="minor"/>
    </font>
    <font>
      <b/>
      <u/>
      <sz val="11"/>
      <color theme="1"/>
      <name val="Calibri"/>
      <family val="2"/>
      <scheme val="minor"/>
    </font>
    <font>
      <sz val="11"/>
      <color theme="1"/>
      <name val="Calibri"/>
      <family val="2"/>
      <scheme val="minor"/>
    </font>
    <font>
      <u/>
      <sz val="11"/>
      <color theme="10"/>
      <name val="Calibri"/>
      <family val="2"/>
      <scheme val="minor"/>
    </font>
    <font>
      <i/>
      <sz val="11"/>
      <color theme="1"/>
      <name val="Calibri"/>
      <family val="2"/>
      <scheme val="minor"/>
    </font>
    <font>
      <sz val="9"/>
      <color indexed="81"/>
      <name val="Tahoma"/>
      <family val="2"/>
    </font>
    <font>
      <b/>
      <sz val="9"/>
      <color indexed="81"/>
      <name val="Tahoma"/>
      <family val="2"/>
    </font>
    <font>
      <sz val="11"/>
      <name val="Calibri"/>
      <family val="2"/>
      <scheme val="minor"/>
    </font>
    <font>
      <u/>
      <sz val="11"/>
      <color theme="1"/>
      <name val="Calibri"/>
      <family val="2"/>
      <scheme val="minor"/>
    </font>
    <font>
      <u/>
      <sz val="12"/>
      <color theme="10"/>
      <name val="Arial"/>
      <family val="2"/>
    </font>
    <font>
      <b/>
      <u/>
      <sz val="12"/>
      <color theme="1"/>
      <name val="Arial"/>
      <family val="2"/>
    </font>
    <font>
      <sz val="12"/>
      <color theme="1"/>
      <name val="Arial"/>
      <family val="2"/>
    </font>
    <font>
      <sz val="12"/>
      <name val="Arial"/>
      <family val="2"/>
    </font>
    <font>
      <i/>
      <sz val="12"/>
      <color theme="1"/>
      <name val="Arial"/>
      <family val="2"/>
    </font>
    <font>
      <b/>
      <sz val="12"/>
      <color theme="1"/>
      <name val="Arial"/>
      <family val="2"/>
    </font>
    <font>
      <u/>
      <sz val="12"/>
      <color theme="1"/>
      <name val="Arial"/>
      <family val="2"/>
    </font>
    <font>
      <b/>
      <i/>
      <u/>
      <sz val="12"/>
      <color theme="1"/>
      <name val="Arial"/>
      <family val="2"/>
    </font>
    <font>
      <i/>
      <sz val="11"/>
      <color theme="1"/>
      <name val="Arial"/>
      <family val="2"/>
    </font>
    <font>
      <b/>
      <u/>
      <sz val="16"/>
      <color theme="0"/>
      <name val="Arial"/>
      <family val="2"/>
    </font>
    <font>
      <b/>
      <u/>
      <sz val="14"/>
      <color theme="1"/>
      <name val="Arial"/>
      <family val="2"/>
    </font>
    <font>
      <b/>
      <u/>
      <sz val="14"/>
      <color theme="0"/>
      <name val="Arial"/>
      <family val="2"/>
    </font>
    <font>
      <b/>
      <sz val="12"/>
      <name val="Arial"/>
      <family val="2"/>
    </font>
    <font>
      <sz val="12"/>
      <color rgb="FFFF0000"/>
      <name val="Arial"/>
      <family val="2"/>
    </font>
    <font>
      <b/>
      <u/>
      <sz val="12"/>
      <color theme="0"/>
      <name val="Arial"/>
      <family val="2"/>
    </font>
    <font>
      <b/>
      <u/>
      <sz val="12"/>
      <color theme="0" tint="-4.9989318521683403E-2"/>
      <name val="Arial"/>
      <family val="2"/>
    </font>
    <font>
      <b/>
      <sz val="14"/>
      <color theme="0"/>
      <name val="Arial"/>
      <family val="2"/>
    </font>
    <font>
      <u/>
      <sz val="11"/>
      <color theme="10"/>
      <name val="Arial"/>
      <family val="2"/>
    </font>
    <font>
      <u/>
      <sz val="12"/>
      <color theme="10"/>
      <name val="Calibri"/>
      <family val="2"/>
      <scheme val="minor"/>
    </font>
    <font>
      <sz val="12"/>
      <color indexed="81"/>
      <name val="Arial"/>
      <family val="2"/>
    </font>
    <font>
      <b/>
      <sz val="12"/>
      <color indexed="81"/>
      <name val="Arial"/>
      <family val="2"/>
    </font>
    <font>
      <b/>
      <u/>
      <sz val="14"/>
      <name val="Arial"/>
      <family val="2"/>
    </font>
    <font>
      <b/>
      <u/>
      <sz val="12"/>
      <name val="Arial"/>
      <family val="2"/>
    </font>
    <font>
      <sz val="8"/>
      <name val="Calibri"/>
      <family val="2"/>
      <scheme val="minor"/>
    </font>
    <font>
      <u/>
      <sz val="12"/>
      <name val="Arial"/>
      <family val="2"/>
    </font>
    <font>
      <b/>
      <u val="singleAccounting"/>
      <sz val="12"/>
      <name val="Arial"/>
      <family val="2"/>
    </font>
    <font>
      <sz val="9"/>
      <color indexed="81"/>
      <name val="Tahoma"/>
      <charset val="1"/>
    </font>
    <font>
      <b/>
      <sz val="9"/>
      <color indexed="81"/>
      <name val="Tahoma"/>
      <charset val="1"/>
    </font>
    <font>
      <b/>
      <i/>
      <sz val="16"/>
      <color theme="0"/>
      <name val="Arial"/>
      <family val="2"/>
    </font>
  </fonts>
  <fills count="21">
    <fill>
      <patternFill patternType="none"/>
    </fill>
    <fill>
      <patternFill patternType="gray125"/>
    </fill>
    <fill>
      <patternFill patternType="solid">
        <fgColor rgb="FFFFFF00"/>
        <bgColor indexed="64"/>
      </patternFill>
    </fill>
    <fill>
      <patternFill patternType="solid">
        <fgColor rgb="FFFFC000"/>
        <bgColor indexed="64"/>
      </patternFill>
    </fill>
    <fill>
      <patternFill patternType="solid">
        <fgColor theme="3"/>
        <bgColor indexed="64"/>
      </patternFill>
    </fill>
    <fill>
      <patternFill patternType="solid">
        <fgColor theme="4" tint="0.79998168889431442"/>
        <bgColor indexed="64"/>
      </patternFill>
    </fill>
    <fill>
      <patternFill patternType="solid">
        <fgColor theme="0"/>
        <bgColor indexed="64"/>
      </patternFill>
    </fill>
    <fill>
      <patternFill patternType="solid">
        <fgColor rgb="FF00B0F0"/>
        <bgColor indexed="64"/>
      </patternFill>
    </fill>
    <fill>
      <patternFill patternType="solid">
        <fgColor theme="8" tint="-0.249977111117893"/>
        <bgColor indexed="64"/>
      </patternFill>
    </fill>
    <fill>
      <patternFill patternType="solid">
        <fgColor theme="8" tint="0.79998168889431442"/>
        <bgColor indexed="64"/>
      </patternFill>
    </fill>
    <fill>
      <patternFill patternType="solid">
        <fgColor theme="9" tint="0.59999389629810485"/>
        <bgColor indexed="64"/>
      </patternFill>
    </fill>
    <fill>
      <patternFill patternType="solid">
        <fgColor rgb="FF864393"/>
        <bgColor indexed="64"/>
      </patternFill>
    </fill>
    <fill>
      <patternFill patternType="solid">
        <fgColor theme="4" tint="0.39997558519241921"/>
        <bgColor indexed="64"/>
      </patternFill>
    </fill>
    <fill>
      <patternFill patternType="solid">
        <fgColor theme="0" tint="-0.14999847407452621"/>
        <bgColor theme="0" tint="-0.14999847407452621"/>
      </patternFill>
    </fill>
    <fill>
      <patternFill patternType="solid">
        <fgColor theme="9" tint="-0.249977111117893"/>
        <bgColor indexed="64"/>
      </patternFill>
    </fill>
    <fill>
      <patternFill patternType="solid">
        <fgColor theme="0"/>
        <bgColor theme="0" tint="-0.14999847407452621"/>
      </patternFill>
    </fill>
    <fill>
      <patternFill patternType="solid">
        <fgColor theme="9" tint="0.59999389629810485"/>
        <bgColor theme="0" tint="-0.14999847407452621"/>
      </patternFill>
    </fill>
    <fill>
      <patternFill patternType="solid">
        <fgColor rgb="FF08E8E3"/>
        <bgColor indexed="64"/>
      </patternFill>
    </fill>
    <fill>
      <patternFill patternType="solid">
        <fgColor theme="9" tint="0.79998168889431442"/>
        <bgColor indexed="64"/>
      </patternFill>
    </fill>
    <fill>
      <patternFill patternType="solid">
        <fgColor rgb="FFFF99FF"/>
        <bgColor theme="0" tint="-0.14999847407452621"/>
      </patternFill>
    </fill>
    <fill>
      <patternFill patternType="solid">
        <fgColor rgb="FFFF99FF"/>
        <bgColor indexed="64"/>
      </patternFill>
    </fill>
  </fills>
  <borders count="60">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top/>
      <bottom style="thin">
        <color indexed="64"/>
      </bottom>
      <diagonal/>
    </border>
    <border>
      <left style="thin">
        <color auto="1"/>
      </left>
      <right style="thin">
        <color auto="1"/>
      </right>
      <top style="thin">
        <color auto="1"/>
      </top>
      <bottom style="thin">
        <color auto="1"/>
      </bottom>
      <diagonal/>
    </border>
    <border>
      <left/>
      <right/>
      <top style="medium">
        <color indexed="64"/>
      </top>
      <bottom/>
      <diagonal/>
    </border>
    <border>
      <left style="medium">
        <color indexed="64"/>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style="medium">
        <color indexed="64"/>
      </right>
      <top style="medium">
        <color indexed="64"/>
      </top>
      <bottom style="thin">
        <color auto="1"/>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style="thin">
        <color auto="1"/>
      </top>
      <bottom style="medium">
        <color indexed="64"/>
      </bottom>
      <diagonal/>
    </border>
    <border>
      <left/>
      <right/>
      <top/>
      <bottom style="thin">
        <color auto="1"/>
      </bottom>
      <diagonal/>
    </border>
    <border>
      <left/>
      <right/>
      <top style="thin">
        <color auto="1"/>
      </top>
      <bottom style="thin">
        <color auto="1"/>
      </bottom>
      <diagonal/>
    </border>
    <border>
      <left/>
      <right style="medium">
        <color indexed="64"/>
      </right>
      <top style="medium">
        <color indexed="64"/>
      </top>
      <bottom style="thin">
        <color auto="1"/>
      </bottom>
      <diagonal/>
    </border>
    <border>
      <left/>
      <right style="medium">
        <color indexed="64"/>
      </right>
      <top style="thin">
        <color auto="1"/>
      </top>
      <bottom style="thin">
        <color auto="1"/>
      </bottom>
      <diagonal/>
    </border>
    <border>
      <left/>
      <right style="medium">
        <color indexed="64"/>
      </right>
      <top style="thin">
        <color auto="1"/>
      </top>
      <bottom style="medium">
        <color indexed="64"/>
      </bottom>
      <diagonal/>
    </border>
    <border>
      <left style="medium">
        <color indexed="64"/>
      </left>
      <right style="medium">
        <color indexed="64"/>
      </right>
      <top style="thin">
        <color auto="1"/>
      </top>
      <bottom/>
      <diagonal/>
    </border>
    <border>
      <left style="thin">
        <color auto="1"/>
      </left>
      <right style="thin">
        <color auto="1"/>
      </right>
      <top style="thin">
        <color auto="1"/>
      </top>
      <bottom style="medium">
        <color auto="1"/>
      </bottom>
      <diagonal/>
    </border>
    <border>
      <left/>
      <right style="medium">
        <color indexed="64"/>
      </right>
      <top style="thin">
        <color auto="1"/>
      </top>
      <bottom/>
      <diagonal/>
    </border>
    <border>
      <left/>
      <right/>
      <top style="thin">
        <color auto="1"/>
      </top>
      <bottom/>
      <diagonal/>
    </border>
    <border>
      <left style="thin">
        <color auto="1"/>
      </left>
      <right style="thin">
        <color auto="1"/>
      </right>
      <top style="medium">
        <color indexed="64"/>
      </top>
      <bottom style="thin">
        <color auto="1"/>
      </bottom>
      <diagonal/>
    </border>
    <border>
      <left/>
      <right style="thin">
        <color auto="1"/>
      </right>
      <top style="thin">
        <color auto="1"/>
      </top>
      <bottom style="thin">
        <color auto="1"/>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bottom style="thin">
        <color auto="1"/>
      </bottom>
      <diagonal/>
    </border>
    <border>
      <left/>
      <right style="thin">
        <color auto="1"/>
      </right>
      <top/>
      <bottom style="thin">
        <color auto="1"/>
      </bottom>
      <diagonal/>
    </border>
    <border>
      <left style="thin">
        <color auto="1"/>
      </left>
      <right style="medium">
        <color indexed="64"/>
      </right>
      <top/>
      <bottom style="medium">
        <color indexed="64"/>
      </bottom>
      <diagonal/>
    </border>
    <border>
      <left style="thin">
        <color auto="1"/>
      </left>
      <right style="thin">
        <color auto="1"/>
      </right>
      <top/>
      <bottom style="thin">
        <color auto="1"/>
      </bottom>
      <diagonal/>
    </border>
    <border>
      <left style="medium">
        <color indexed="64"/>
      </left>
      <right style="thin">
        <color auto="1"/>
      </right>
      <top/>
      <bottom style="thin">
        <color auto="1"/>
      </bottom>
      <diagonal/>
    </border>
    <border>
      <left style="medium">
        <color indexed="64"/>
      </left>
      <right/>
      <top style="thin">
        <color auto="1"/>
      </top>
      <bottom style="thin">
        <color auto="1"/>
      </bottom>
      <diagonal/>
    </border>
    <border>
      <left style="medium">
        <color indexed="64"/>
      </left>
      <right/>
      <top style="thin">
        <color auto="1"/>
      </top>
      <bottom style="medium">
        <color indexed="64"/>
      </bottom>
      <diagonal/>
    </border>
    <border>
      <left style="thin">
        <color auto="1"/>
      </left>
      <right/>
      <top/>
      <bottom style="thin">
        <color auto="1"/>
      </bottom>
      <diagonal/>
    </border>
    <border>
      <left style="thin">
        <color auto="1"/>
      </left>
      <right/>
      <top style="thin">
        <color auto="1"/>
      </top>
      <bottom/>
      <diagonal/>
    </border>
    <border>
      <left style="medium">
        <color indexed="64"/>
      </left>
      <right/>
      <top style="thin">
        <color auto="1"/>
      </top>
      <bottom/>
      <diagonal/>
    </border>
    <border>
      <left style="medium">
        <color indexed="64"/>
      </left>
      <right/>
      <top style="medium">
        <color indexed="64"/>
      </top>
      <bottom style="thin">
        <color auto="1"/>
      </bottom>
      <diagonal/>
    </border>
    <border>
      <left style="medium">
        <color indexed="64"/>
      </left>
      <right style="thin">
        <color auto="1"/>
      </right>
      <top/>
      <bottom/>
      <diagonal/>
    </border>
    <border>
      <left style="thin">
        <color theme="1"/>
      </left>
      <right/>
      <top style="medium">
        <color indexed="64"/>
      </top>
      <bottom/>
      <diagonal/>
    </border>
    <border>
      <left style="thin">
        <color theme="1"/>
      </left>
      <right/>
      <top style="thin">
        <color auto="1"/>
      </top>
      <bottom/>
      <diagonal/>
    </border>
    <border>
      <left style="medium">
        <color indexed="64"/>
      </left>
      <right/>
      <top style="thin">
        <color theme="1"/>
      </top>
      <bottom/>
      <diagonal/>
    </border>
    <border>
      <left style="thin">
        <color auto="1"/>
      </left>
      <right style="medium">
        <color indexed="64"/>
      </right>
      <top style="thin">
        <color auto="1"/>
      </top>
      <bottom/>
      <diagonal/>
    </border>
    <border>
      <left style="thin">
        <color auto="1"/>
      </left>
      <right style="thin">
        <color auto="1"/>
      </right>
      <top style="medium">
        <color indexed="64"/>
      </top>
      <bottom/>
      <diagonal/>
    </border>
    <border>
      <left style="thin">
        <color auto="1"/>
      </left>
      <right style="thin">
        <color auto="1"/>
      </right>
      <top style="thin">
        <color auto="1"/>
      </top>
      <bottom/>
      <diagonal/>
    </border>
  </borders>
  <cellStyleXfs count="5">
    <xf numFmtId="0" fontId="0" fillId="0" borderId="0"/>
    <xf numFmtId="44" fontId="3" fillId="0" borderId="0" applyFont="0" applyFill="0" applyBorder="0" applyAlignment="0" applyProtection="0"/>
    <xf numFmtId="9" fontId="3" fillId="0" borderId="0" applyFont="0" applyFill="0" applyBorder="0" applyAlignment="0" applyProtection="0"/>
    <xf numFmtId="0" fontId="4" fillId="0" borderId="0" applyNumberFormat="0" applyFill="0" applyBorder="0" applyAlignment="0" applyProtection="0"/>
    <xf numFmtId="43" fontId="3" fillId="0" borderId="0" applyFont="0" applyFill="0" applyBorder="0" applyAlignment="0" applyProtection="0"/>
  </cellStyleXfs>
  <cellXfs count="529">
    <xf numFmtId="0" fontId="0" fillId="0" borderId="0" xfId="0"/>
    <xf numFmtId="8" fontId="0" fillId="0" borderId="0" xfId="0" applyNumberFormat="1"/>
    <xf numFmtId="0" fontId="1" fillId="0" borderId="0" xfId="0" applyFont="1"/>
    <xf numFmtId="44" fontId="0" fillId="0" borderId="0" xfId="1" applyFont="1"/>
    <xf numFmtId="0" fontId="0" fillId="0" borderId="12" xfId="0" applyBorder="1" applyAlignment="1">
      <alignment horizontal="center"/>
    </xf>
    <xf numFmtId="0" fontId="0" fillId="0" borderId="13" xfId="0" applyBorder="1" applyAlignment="1">
      <alignment horizontal="center"/>
    </xf>
    <xf numFmtId="0" fontId="0" fillId="0" borderId="14" xfId="0" applyBorder="1" applyAlignment="1">
      <alignment horizontal="center"/>
    </xf>
    <xf numFmtId="44" fontId="0" fillId="0" borderId="13" xfId="1" applyFont="1" applyBorder="1"/>
    <xf numFmtId="0" fontId="1" fillId="0" borderId="2" xfId="0" applyFont="1" applyBorder="1" applyAlignment="1">
      <alignment horizontal="center"/>
    </xf>
    <xf numFmtId="44" fontId="0" fillId="0" borderId="12" xfId="1" applyFont="1" applyBorder="1"/>
    <xf numFmtId="8" fontId="0" fillId="2" borderId="13" xfId="0" applyNumberFormat="1" applyFill="1" applyBorder="1"/>
    <xf numFmtId="0" fontId="2" fillId="0" borderId="1" xfId="0" applyFont="1" applyBorder="1" applyAlignment="1">
      <alignment horizontal="center" vertical="center" wrapText="1"/>
    </xf>
    <xf numFmtId="0" fontId="4" fillId="0" borderId="12" xfId="3" applyBorder="1"/>
    <xf numFmtId="0" fontId="4" fillId="0" borderId="13" xfId="3" applyBorder="1"/>
    <xf numFmtId="0" fontId="4" fillId="2" borderId="13" xfId="3" applyFill="1" applyBorder="1"/>
    <xf numFmtId="0" fontId="4" fillId="0" borderId="0" xfId="3" applyAlignment="1">
      <alignment horizontal="center" vertical="center"/>
    </xf>
    <xf numFmtId="0" fontId="4" fillId="0" borderId="14" xfId="3" applyBorder="1"/>
    <xf numFmtId="44" fontId="0" fillId="0" borderId="14" xfId="1" applyFont="1" applyBorder="1"/>
    <xf numFmtId="44" fontId="0" fillId="0" borderId="6" xfId="1" applyFont="1" applyBorder="1"/>
    <xf numFmtId="44" fontId="0" fillId="0" borderId="11" xfId="1" applyFont="1" applyBorder="1"/>
    <xf numFmtId="8" fontId="4" fillId="0" borderId="12" xfId="3" applyNumberFormat="1" applyBorder="1"/>
    <xf numFmtId="8" fontId="4" fillId="0" borderId="13" xfId="3" applyNumberFormat="1" applyBorder="1"/>
    <xf numFmtId="8" fontId="4" fillId="0" borderId="14" xfId="3" applyNumberFormat="1" applyBorder="1"/>
    <xf numFmtId="0" fontId="8" fillId="0" borderId="12" xfId="3" applyFont="1" applyBorder="1" applyAlignment="1">
      <alignment horizontal="center"/>
    </xf>
    <xf numFmtId="0" fontId="8" fillId="0" borderId="13" xfId="3" applyFont="1" applyBorder="1" applyAlignment="1">
      <alignment horizontal="center"/>
    </xf>
    <xf numFmtId="0" fontId="8" fillId="2" borderId="13" xfId="0" applyFont="1" applyFill="1" applyBorder="1" applyAlignment="1">
      <alignment horizontal="center"/>
    </xf>
    <xf numFmtId="0" fontId="8" fillId="0" borderId="14" xfId="3" applyFont="1" applyBorder="1" applyAlignment="1">
      <alignment horizontal="center"/>
    </xf>
    <xf numFmtId="8" fontId="8" fillId="0" borderId="0" xfId="0" applyNumberFormat="1" applyFont="1"/>
    <xf numFmtId="0" fontId="8" fillId="0" borderId="0" xfId="0" applyFont="1"/>
    <xf numFmtId="0" fontId="5" fillId="0" borderId="0" xfId="0" applyFont="1"/>
    <xf numFmtId="164" fontId="8" fillId="0" borderId="13" xfId="3" applyNumberFormat="1" applyFont="1" applyBorder="1" applyAlignment="1">
      <alignment horizontal="center"/>
    </xf>
    <xf numFmtId="164" fontId="8" fillId="0" borderId="12" xfId="3" applyNumberFormat="1" applyFont="1" applyBorder="1" applyAlignment="1">
      <alignment horizontal="center"/>
    </xf>
    <xf numFmtId="0" fontId="0" fillId="0" borderId="7" xfId="0" applyBorder="1" applyAlignment="1">
      <alignment horizontal="center"/>
    </xf>
    <xf numFmtId="0" fontId="0" fillId="0" borderId="5" xfId="0" applyBorder="1" applyAlignment="1">
      <alignment horizontal="center"/>
    </xf>
    <xf numFmtId="0" fontId="8" fillId="0" borderId="7" xfId="3" applyFont="1" applyBorder="1"/>
    <xf numFmtId="0" fontId="8" fillId="0" borderId="5" xfId="3" applyFont="1" applyBorder="1"/>
    <xf numFmtId="0" fontId="8" fillId="2" borderId="7" xfId="3" applyFont="1" applyFill="1" applyBorder="1"/>
    <xf numFmtId="44" fontId="8" fillId="0" borderId="12" xfId="1" applyFont="1" applyBorder="1" applyAlignment="1">
      <alignment horizontal="center"/>
    </xf>
    <xf numFmtId="44" fontId="8" fillId="0" borderId="13" xfId="1" applyFont="1" applyBorder="1" applyAlignment="1">
      <alignment horizontal="center"/>
    </xf>
    <xf numFmtId="44" fontId="8" fillId="2" borderId="13" xfId="1" applyFont="1" applyFill="1" applyBorder="1" applyAlignment="1">
      <alignment horizontal="center"/>
    </xf>
    <xf numFmtId="0" fontId="2" fillId="0" borderId="5" xfId="0" applyFont="1" applyBorder="1" applyAlignment="1">
      <alignment horizontal="center" vertical="center"/>
    </xf>
    <xf numFmtId="0" fontId="9" fillId="0" borderId="0" xfId="0" applyFont="1" applyAlignment="1">
      <alignment vertical="center"/>
    </xf>
    <xf numFmtId="0" fontId="4" fillId="2" borderId="14" xfId="3" applyFill="1" applyBorder="1"/>
    <xf numFmtId="164" fontId="8" fillId="2" borderId="14" xfId="0" applyNumberFormat="1" applyFont="1" applyFill="1" applyBorder="1" applyAlignment="1">
      <alignment horizontal="center"/>
    </xf>
    <xf numFmtId="0" fontId="8" fillId="0" borderId="0" xfId="3" applyFont="1"/>
    <xf numFmtId="8" fontId="8" fillId="0" borderId="0" xfId="3" applyNumberFormat="1" applyFont="1"/>
    <xf numFmtId="0" fontId="8" fillId="0" borderId="9" xfId="3" applyFont="1" applyBorder="1"/>
    <xf numFmtId="44" fontId="8" fillId="0" borderId="14" xfId="1" applyFont="1" applyBorder="1" applyAlignment="1">
      <alignment horizontal="center"/>
    </xf>
    <xf numFmtId="44" fontId="8" fillId="0" borderId="13" xfId="1" applyFont="1" applyBorder="1"/>
    <xf numFmtId="0" fontId="1" fillId="0" borderId="0" xfId="0" applyFont="1" applyAlignment="1">
      <alignment horizontal="center" wrapText="1"/>
    </xf>
    <xf numFmtId="0" fontId="4" fillId="0" borderId="0" xfId="3" applyAlignment="1">
      <alignment horizontal="center" vertical="center" wrapText="1"/>
    </xf>
    <xf numFmtId="44" fontId="8" fillId="0" borderId="0" xfId="1" applyFont="1"/>
    <xf numFmtId="0" fontId="2" fillId="0" borderId="12" xfId="0" applyFont="1" applyBorder="1" applyAlignment="1">
      <alignment horizontal="center" vertical="center" wrapText="1"/>
    </xf>
    <xf numFmtId="0" fontId="8" fillId="0" borderId="16" xfId="3" applyFont="1" applyBorder="1"/>
    <xf numFmtId="44" fontId="8" fillId="0" borderId="15" xfId="1" applyFont="1" applyBorder="1" applyAlignment="1">
      <alignment horizontal="center"/>
    </xf>
    <xf numFmtId="44" fontId="0" fillId="0" borderId="0" xfId="0" applyNumberFormat="1"/>
    <xf numFmtId="0" fontId="1" fillId="0" borderId="9" xfId="0" applyFont="1" applyBorder="1"/>
    <xf numFmtId="0" fontId="0" fillId="3" borderId="5" xfId="0" applyFill="1" applyBorder="1"/>
    <xf numFmtId="44" fontId="0" fillId="3" borderId="6" xfId="1" applyFont="1" applyFill="1" applyBorder="1"/>
    <xf numFmtId="0" fontId="0" fillId="3" borderId="9" xfId="0" applyFill="1" applyBorder="1"/>
    <xf numFmtId="44" fontId="0" fillId="3" borderId="11" xfId="1" applyFont="1" applyFill="1" applyBorder="1"/>
    <xf numFmtId="0" fontId="1" fillId="0" borderId="5" xfId="0" applyFont="1" applyBorder="1"/>
    <xf numFmtId="0" fontId="0" fillId="3" borderId="7" xfId="0" applyFill="1" applyBorder="1"/>
    <xf numFmtId="44" fontId="0" fillId="3" borderId="8" xfId="1" applyFont="1" applyFill="1" applyBorder="1"/>
    <xf numFmtId="2" fontId="0" fillId="0" borderId="0" xfId="1" applyNumberFormat="1" applyFont="1" applyAlignment="1">
      <alignment horizontal="center"/>
    </xf>
    <xf numFmtId="2" fontId="0" fillId="3" borderId="6" xfId="1" applyNumberFormat="1" applyFont="1" applyFill="1" applyBorder="1" applyAlignment="1">
      <alignment horizontal="center"/>
    </xf>
    <xf numFmtId="2" fontId="0" fillId="3" borderId="11" xfId="1" applyNumberFormat="1" applyFont="1" applyFill="1" applyBorder="1" applyAlignment="1">
      <alignment horizontal="center"/>
    </xf>
    <xf numFmtId="2" fontId="0" fillId="0" borderId="6" xfId="1" applyNumberFormat="1" applyFont="1" applyBorder="1" applyAlignment="1">
      <alignment horizontal="center"/>
    </xf>
    <xf numFmtId="2" fontId="0" fillId="0" borderId="11" xfId="1" applyNumberFormat="1" applyFont="1" applyBorder="1" applyAlignment="1">
      <alignment horizontal="center"/>
    </xf>
    <xf numFmtId="10" fontId="0" fillId="3" borderId="6" xfId="2" applyNumberFormat="1" applyFont="1" applyFill="1" applyBorder="1"/>
    <xf numFmtId="10" fontId="0" fillId="3" borderId="8" xfId="2" applyNumberFormat="1" applyFont="1" applyFill="1" applyBorder="1"/>
    <xf numFmtId="10" fontId="0" fillId="3" borderId="11" xfId="2" applyNumberFormat="1" applyFont="1" applyFill="1" applyBorder="1"/>
    <xf numFmtId="0" fontId="4" fillId="0" borderId="17" xfId="3" applyBorder="1"/>
    <xf numFmtId="0" fontId="4" fillId="2" borderId="17" xfId="3" applyFill="1" applyBorder="1"/>
    <xf numFmtId="0" fontId="0" fillId="0" borderId="9" xfId="0" applyBorder="1" applyAlignment="1">
      <alignment horizontal="center"/>
    </xf>
    <xf numFmtId="164" fontId="8" fillId="0" borderId="17" xfId="3" applyNumberFormat="1" applyFont="1" applyBorder="1" applyAlignment="1">
      <alignment horizontal="center"/>
    </xf>
    <xf numFmtId="164" fontId="8" fillId="2" borderId="17" xfId="0" applyNumberFormat="1" applyFont="1" applyFill="1" applyBorder="1" applyAlignment="1">
      <alignment horizontal="center"/>
    </xf>
    <xf numFmtId="164" fontId="8" fillId="0" borderId="17" xfId="3" quotePrefix="1" applyNumberFormat="1" applyFont="1" applyBorder="1" applyAlignment="1">
      <alignment horizontal="center"/>
    </xf>
    <xf numFmtId="0" fontId="12" fillId="0" borderId="0" xfId="0" applyFont="1"/>
    <xf numFmtId="0" fontId="11" fillId="0" borderId="0" xfId="0" applyFont="1" applyAlignment="1">
      <alignment horizontal="center" vertical="center" wrapText="1"/>
    </xf>
    <xf numFmtId="0" fontId="10" fillId="0" borderId="0" xfId="3" applyFont="1" applyFill="1" applyBorder="1" applyAlignment="1">
      <alignment horizontal="center"/>
    </xf>
    <xf numFmtId="0" fontId="10" fillId="0" borderId="0" xfId="3" applyFont="1" applyFill="1" applyBorder="1"/>
    <xf numFmtId="0" fontId="15" fillId="0" borderId="0" xfId="0" applyFont="1" applyAlignment="1">
      <alignment horizontal="center"/>
    </xf>
    <xf numFmtId="0" fontId="15" fillId="0" borderId="9" xfId="0" applyFont="1" applyBorder="1"/>
    <xf numFmtId="0" fontId="15" fillId="0" borderId="0" xfId="0" applyFont="1"/>
    <xf numFmtId="8" fontId="12" fillId="0" borderId="0" xfId="0" applyNumberFormat="1" applyFont="1"/>
    <xf numFmtId="0" fontId="12" fillId="0" borderId="0" xfId="0" applyFont="1" applyAlignment="1">
      <alignment horizontal="center"/>
    </xf>
    <xf numFmtId="0" fontId="13" fillId="0" borderId="0" xfId="0" applyFont="1" applyAlignment="1">
      <alignment horizontal="center"/>
    </xf>
    <xf numFmtId="0" fontId="13" fillId="0" borderId="0" xfId="3" applyFont="1" applyFill="1" applyBorder="1" applyAlignment="1">
      <alignment horizontal="center"/>
    </xf>
    <xf numFmtId="0" fontId="13" fillId="0" borderId="0" xfId="3" applyFont="1" applyBorder="1" applyAlignment="1">
      <alignment horizontal="center"/>
    </xf>
    <xf numFmtId="0" fontId="14" fillId="0" borderId="0" xfId="0" applyFont="1"/>
    <xf numFmtId="164" fontId="13" fillId="0" borderId="0" xfId="0" applyNumberFormat="1" applyFont="1" applyAlignment="1">
      <alignment horizontal="center"/>
    </xf>
    <xf numFmtId="2" fontId="12" fillId="0" borderId="0" xfId="1" applyNumberFormat="1" applyFont="1" applyFill="1" applyBorder="1" applyAlignment="1">
      <alignment horizontal="center"/>
    </xf>
    <xf numFmtId="0" fontId="16" fillId="0" borderId="0" xfId="0" applyFont="1" applyAlignment="1">
      <alignment vertical="center"/>
    </xf>
    <xf numFmtId="0" fontId="11" fillId="0" borderId="0" xfId="0" applyFont="1" applyAlignment="1">
      <alignment horizontal="center" vertical="center"/>
    </xf>
    <xf numFmtId="0" fontId="10" fillId="0" borderId="0" xfId="3" applyFont="1" applyBorder="1" applyAlignment="1">
      <alignment horizontal="center"/>
    </xf>
    <xf numFmtId="44" fontId="12" fillId="0" borderId="0" xfId="0" applyNumberFormat="1" applyFont="1"/>
    <xf numFmtId="8" fontId="12" fillId="0" borderId="0" xfId="0" applyNumberFormat="1" applyFont="1" applyAlignment="1">
      <alignment horizontal="right"/>
    </xf>
    <xf numFmtId="0" fontId="12" fillId="0" borderId="0" xfId="0" applyFont="1" applyAlignment="1">
      <alignment horizontal="right"/>
    </xf>
    <xf numFmtId="0" fontId="14" fillId="0" borderId="0" xfId="0" applyFont="1" applyAlignment="1">
      <alignment horizontal="right"/>
    </xf>
    <xf numFmtId="0" fontId="15" fillId="0" borderId="0" xfId="0" applyFont="1" applyAlignment="1">
      <alignment horizontal="right"/>
    </xf>
    <xf numFmtId="44" fontId="13" fillId="0" borderId="0" xfId="1" applyFont="1" applyFill="1" applyBorder="1" applyAlignment="1">
      <alignment horizontal="right"/>
    </xf>
    <xf numFmtId="0" fontId="11" fillId="0" borderId="0" xfId="0" applyFont="1" applyAlignment="1">
      <alignment horizontal="right" vertical="center" wrapText="1"/>
    </xf>
    <xf numFmtId="164" fontId="13" fillId="0" borderId="0" xfId="3" applyNumberFormat="1" applyFont="1" applyBorder="1" applyAlignment="1">
      <alignment horizontal="right"/>
    </xf>
    <xf numFmtId="44" fontId="12" fillId="0" borderId="0" xfId="0" applyNumberFormat="1" applyFont="1" applyAlignment="1">
      <alignment horizontal="right"/>
    </xf>
    <xf numFmtId="44" fontId="12" fillId="0" borderId="0" xfId="1" applyFont="1" applyFill="1" applyBorder="1" applyAlignment="1">
      <alignment horizontal="right"/>
    </xf>
    <xf numFmtId="0" fontId="11" fillId="0" borderId="0" xfId="0" applyFont="1" applyAlignment="1">
      <alignment horizontal="right" vertical="center"/>
    </xf>
    <xf numFmtId="164" fontId="13" fillId="0" borderId="0" xfId="3" applyNumberFormat="1" applyFont="1" applyFill="1" applyBorder="1" applyAlignment="1">
      <alignment horizontal="right"/>
    </xf>
    <xf numFmtId="10" fontId="12" fillId="0" borderId="0" xfId="2" applyNumberFormat="1" applyFont="1" applyFill="1" applyBorder="1" applyAlignment="1">
      <alignment horizontal="right"/>
    </xf>
    <xf numFmtId="164" fontId="13" fillId="0" borderId="0" xfId="0" applyNumberFormat="1" applyFont="1" applyAlignment="1">
      <alignment horizontal="right"/>
    </xf>
    <xf numFmtId="164" fontId="13" fillId="0" borderId="0" xfId="3" quotePrefix="1" applyNumberFormat="1" applyFont="1" applyFill="1" applyBorder="1" applyAlignment="1">
      <alignment horizontal="right"/>
    </xf>
    <xf numFmtId="165" fontId="12" fillId="0" borderId="0" xfId="0" applyNumberFormat="1" applyFont="1" applyAlignment="1">
      <alignment horizontal="center"/>
    </xf>
    <xf numFmtId="44" fontId="12" fillId="0" borderId="0" xfId="1" applyFont="1" applyBorder="1" applyAlignment="1">
      <alignment horizontal="right"/>
    </xf>
    <xf numFmtId="8" fontId="12" fillId="0" borderId="0" xfId="1" applyNumberFormat="1" applyFont="1" applyBorder="1" applyAlignment="1">
      <alignment horizontal="right"/>
    </xf>
    <xf numFmtId="0" fontId="12" fillId="0" borderId="2" xfId="0" applyFont="1" applyBorder="1" applyAlignment="1">
      <alignment horizontal="center"/>
    </xf>
    <xf numFmtId="0" fontId="15" fillId="0" borderId="2" xfId="0" applyFont="1" applyBorder="1"/>
    <xf numFmtId="44" fontId="12" fillId="0" borderId="0" xfId="1" applyFont="1"/>
    <xf numFmtId="44" fontId="12" fillId="0" borderId="1" xfId="1" applyFont="1" applyBorder="1"/>
    <xf numFmtId="44" fontId="15" fillId="0" borderId="0" xfId="1" applyFont="1"/>
    <xf numFmtId="10" fontId="12" fillId="0" borderId="0" xfId="2" applyNumberFormat="1" applyFont="1"/>
    <xf numFmtId="44" fontId="12" fillId="0" borderId="14" xfId="1" applyFont="1" applyBorder="1"/>
    <xf numFmtId="0" fontId="18" fillId="0" borderId="0" xfId="0" applyFont="1"/>
    <xf numFmtId="0" fontId="17" fillId="0" borderId="1" xfId="0" applyFont="1" applyBorder="1"/>
    <xf numFmtId="0" fontId="15" fillId="5" borderId="1" xfId="0" applyFont="1" applyFill="1" applyBorder="1"/>
    <xf numFmtId="0" fontId="11" fillId="5" borderId="5" xfId="0" applyFont="1" applyFill="1" applyBorder="1" applyAlignment="1">
      <alignment horizontal="center" textRotation="90"/>
    </xf>
    <xf numFmtId="0" fontId="11" fillId="5" borderId="5" xfId="0" applyFont="1" applyFill="1" applyBorder="1" applyAlignment="1">
      <alignment horizontal="center" vertical="center" textRotation="90"/>
    </xf>
    <xf numFmtId="0" fontId="12" fillId="0" borderId="0" xfId="0" applyFont="1" applyAlignment="1">
      <alignment vertical="center"/>
    </xf>
    <xf numFmtId="0" fontId="15" fillId="6" borderId="5" xfId="0" applyFont="1" applyFill="1" applyBorder="1" applyAlignment="1">
      <alignment horizontal="center" textRotation="90"/>
    </xf>
    <xf numFmtId="0" fontId="11" fillId="5" borderId="2" xfId="0" applyFont="1" applyFill="1" applyBorder="1" applyAlignment="1">
      <alignment horizontal="center" vertical="center" textRotation="90"/>
    </xf>
    <xf numFmtId="0" fontId="11" fillId="5" borderId="1" xfId="0" applyFont="1" applyFill="1" applyBorder="1" applyAlignment="1">
      <alignment horizontal="center" vertical="center" wrapText="1"/>
    </xf>
    <xf numFmtId="0" fontId="11" fillId="5" borderId="2" xfId="0" applyFont="1" applyFill="1" applyBorder="1" applyAlignment="1">
      <alignment horizontal="center" textRotation="90"/>
    </xf>
    <xf numFmtId="0" fontId="20" fillId="0" borderId="12" xfId="0" applyFont="1" applyBorder="1" applyAlignment="1">
      <alignment horizontal="center" vertical="center" wrapText="1"/>
    </xf>
    <xf numFmtId="0" fontId="17" fillId="0" borderId="2" xfId="0" applyFont="1" applyBorder="1"/>
    <xf numFmtId="44" fontId="12" fillId="0" borderId="0" xfId="1" applyFont="1" applyBorder="1"/>
    <xf numFmtId="10" fontId="12" fillId="0" borderId="0" xfId="2" applyNumberFormat="1" applyFont="1" applyFill="1" applyBorder="1"/>
    <xf numFmtId="0" fontId="15" fillId="6" borderId="1" xfId="0" applyFont="1" applyFill="1" applyBorder="1" applyAlignment="1">
      <alignment horizontal="center" textRotation="90"/>
    </xf>
    <xf numFmtId="0" fontId="12" fillId="0" borderId="18" xfId="0" applyFont="1" applyBorder="1"/>
    <xf numFmtId="44" fontId="10" fillId="0" borderId="29" xfId="3" applyNumberFormat="1" applyFont="1" applyFill="1" applyBorder="1" applyAlignment="1">
      <alignment horizontal="center" vertical="center"/>
    </xf>
    <xf numFmtId="44" fontId="23" fillId="0" borderId="0" xfId="0" applyNumberFormat="1" applyFont="1"/>
    <xf numFmtId="44" fontId="10" fillId="0" borderId="28" xfId="3" applyNumberFormat="1" applyFont="1" applyFill="1" applyBorder="1"/>
    <xf numFmtId="0" fontId="11" fillId="0" borderId="5" xfId="0" applyFont="1" applyBorder="1" applyAlignment="1">
      <alignment horizontal="center" textRotation="90"/>
    </xf>
    <xf numFmtId="44" fontId="13" fillId="0" borderId="15" xfId="1" applyFont="1" applyFill="1" applyBorder="1" applyAlignment="1">
      <alignment horizontal="center" vertical="center"/>
    </xf>
    <xf numFmtId="0" fontId="20" fillId="6" borderId="1" xfId="0" applyFont="1" applyFill="1" applyBorder="1" applyAlignment="1">
      <alignment horizontal="center" vertical="center"/>
    </xf>
    <xf numFmtId="0" fontId="15" fillId="0" borderId="10" xfId="0" applyFont="1" applyBorder="1"/>
    <xf numFmtId="44" fontId="12" fillId="5" borderId="1" xfId="1" applyFont="1" applyFill="1" applyBorder="1" applyAlignment="1">
      <alignment horizontal="right"/>
    </xf>
    <xf numFmtId="0" fontId="12" fillId="0" borderId="17" xfId="0" applyFont="1" applyBorder="1" applyAlignment="1">
      <alignment horizontal="center" vertical="center"/>
    </xf>
    <xf numFmtId="0" fontId="12" fillId="0" borderId="19" xfId="0" applyFont="1" applyBorder="1" applyAlignment="1">
      <alignment horizontal="center" vertical="center"/>
    </xf>
    <xf numFmtId="0" fontId="12" fillId="0" borderId="21" xfId="0" applyFont="1" applyBorder="1" applyAlignment="1">
      <alignment horizontal="center" vertical="center"/>
    </xf>
    <xf numFmtId="0" fontId="12" fillId="0" borderId="23" xfId="0" applyFont="1" applyBorder="1" applyAlignment="1">
      <alignment horizontal="center" vertical="center"/>
    </xf>
    <xf numFmtId="165" fontId="13" fillId="0" borderId="22" xfId="3" applyNumberFormat="1" applyFont="1" applyFill="1" applyBorder="1" applyAlignment="1">
      <alignment horizontal="center" vertical="center" wrapText="1"/>
    </xf>
    <xf numFmtId="165" fontId="13" fillId="0" borderId="22" xfId="3" applyNumberFormat="1" applyFont="1" applyFill="1" applyBorder="1" applyAlignment="1">
      <alignment horizontal="center" vertical="center"/>
    </xf>
    <xf numFmtId="165" fontId="13" fillId="0" borderId="22" xfId="0" applyNumberFormat="1" applyFont="1" applyBorder="1" applyAlignment="1">
      <alignment horizontal="center" vertical="center"/>
    </xf>
    <xf numFmtId="0" fontId="15" fillId="0" borderId="0" xfId="0" applyFont="1" applyAlignment="1">
      <alignment horizontal="center" vertical="center"/>
    </xf>
    <xf numFmtId="0" fontId="13" fillId="0" borderId="22" xfId="3" applyFont="1" applyFill="1" applyBorder="1" applyAlignment="1">
      <alignment horizontal="center" vertical="center"/>
    </xf>
    <xf numFmtId="165" fontId="13" fillId="0" borderId="20" xfId="3" applyNumberFormat="1" applyFont="1" applyFill="1" applyBorder="1" applyAlignment="1">
      <alignment horizontal="center" vertical="center"/>
    </xf>
    <xf numFmtId="0" fontId="12" fillId="0" borderId="25" xfId="0" applyFont="1" applyBorder="1" applyAlignment="1">
      <alignment horizontal="center" vertical="center"/>
    </xf>
    <xf numFmtId="0" fontId="12" fillId="0" borderId="26" xfId="0" applyFont="1" applyBorder="1" applyAlignment="1">
      <alignment horizontal="center" vertical="center"/>
    </xf>
    <xf numFmtId="0" fontId="12" fillId="0" borderId="27" xfId="0" applyFont="1" applyBorder="1" applyAlignment="1">
      <alignment horizontal="center" vertical="center"/>
    </xf>
    <xf numFmtId="0" fontId="15" fillId="0" borderId="1" xfId="0" applyFont="1" applyBorder="1" applyAlignment="1">
      <alignment horizontal="left" vertical="center"/>
    </xf>
    <xf numFmtId="44" fontId="12" fillId="0" borderId="1" xfId="0" applyNumberFormat="1" applyFont="1" applyBorder="1" applyAlignment="1">
      <alignment horizontal="right"/>
    </xf>
    <xf numFmtId="44" fontId="12" fillId="0" borderId="1" xfId="0" applyNumberFormat="1" applyFont="1" applyBorder="1" applyAlignment="1">
      <alignment horizontal="right" vertical="center"/>
    </xf>
    <xf numFmtId="44" fontId="10" fillId="0" borderId="26" xfId="3" applyNumberFormat="1" applyFont="1" applyFill="1" applyBorder="1" applyAlignment="1">
      <alignment vertical="center"/>
    </xf>
    <xf numFmtId="44" fontId="12" fillId="0" borderId="26" xfId="0" applyNumberFormat="1" applyFont="1" applyBorder="1" applyAlignment="1">
      <alignment vertical="center"/>
    </xf>
    <xf numFmtId="165" fontId="12" fillId="5" borderId="1" xfId="0" applyNumberFormat="1" applyFont="1" applyFill="1" applyBorder="1" applyAlignment="1">
      <alignment horizontal="center"/>
    </xf>
    <xf numFmtId="44" fontId="12" fillId="5" borderId="27" xfId="1" applyFont="1" applyFill="1" applyBorder="1" applyAlignment="1">
      <alignment horizontal="right"/>
    </xf>
    <xf numFmtId="0" fontId="20" fillId="0" borderId="1" xfId="0" applyFont="1" applyBorder="1" applyAlignment="1">
      <alignment horizontal="center" vertical="center" wrapText="1"/>
    </xf>
    <xf numFmtId="0" fontId="12" fillId="0" borderId="3" xfId="0" applyFont="1" applyBorder="1"/>
    <xf numFmtId="165" fontId="15" fillId="0" borderId="1" xfId="0" applyNumberFormat="1" applyFont="1" applyBorder="1" applyAlignment="1">
      <alignment horizontal="center" vertical="center"/>
    </xf>
    <xf numFmtId="0" fontId="12" fillId="0" borderId="2" xfId="0" applyFont="1" applyBorder="1"/>
    <xf numFmtId="10" fontId="12" fillId="0" borderId="1" xfId="2" applyNumberFormat="1" applyFont="1" applyFill="1" applyBorder="1"/>
    <xf numFmtId="0" fontId="12" fillId="6" borderId="21" xfId="0" applyFont="1" applyFill="1" applyBorder="1" applyAlignment="1">
      <alignment horizontal="center" vertical="center"/>
    </xf>
    <xf numFmtId="0" fontId="12" fillId="2" borderId="21" xfId="0" applyFont="1" applyFill="1" applyBorder="1" applyAlignment="1">
      <alignment horizontal="center" vertical="center"/>
    </xf>
    <xf numFmtId="0" fontId="13" fillId="0" borderId="20" xfId="0" applyFont="1" applyBorder="1" applyAlignment="1">
      <alignment horizontal="center" vertical="center"/>
    </xf>
    <xf numFmtId="44" fontId="10" fillId="0" borderId="36" xfId="3" applyNumberFormat="1" applyFont="1" applyFill="1" applyBorder="1" applyAlignment="1">
      <alignment horizontal="center" vertical="center"/>
    </xf>
    <xf numFmtId="0" fontId="12" fillId="0" borderId="15" xfId="0" applyFont="1" applyBorder="1" applyAlignment="1">
      <alignment horizontal="center" vertical="center"/>
    </xf>
    <xf numFmtId="44" fontId="10" fillId="0" borderId="26" xfId="3" applyNumberFormat="1" applyFont="1" applyFill="1" applyBorder="1" applyAlignment="1">
      <alignment horizontal="center" vertical="center"/>
    </xf>
    <xf numFmtId="44" fontId="23" fillId="0" borderId="26" xfId="0" applyNumberFormat="1" applyFont="1" applyBorder="1" applyAlignment="1">
      <alignment vertical="center"/>
    </xf>
    <xf numFmtId="0" fontId="12" fillId="0" borderId="14" xfId="0" applyFont="1" applyBorder="1" applyAlignment="1">
      <alignment vertical="top" wrapText="1"/>
    </xf>
    <xf numFmtId="44" fontId="10" fillId="0" borderId="15" xfId="3" applyNumberFormat="1" applyFont="1" applyFill="1" applyBorder="1" applyAlignment="1">
      <alignment horizontal="center" vertical="center"/>
    </xf>
    <xf numFmtId="0" fontId="12" fillId="0" borderId="1" xfId="0" applyFont="1" applyBorder="1" applyAlignment="1">
      <alignment vertical="top" wrapText="1"/>
    </xf>
    <xf numFmtId="44" fontId="13" fillId="0" borderId="26" xfId="0" applyNumberFormat="1" applyFont="1" applyBorder="1" applyAlignment="1">
      <alignment vertical="center"/>
    </xf>
    <xf numFmtId="0" fontId="17" fillId="0" borderId="1" xfId="0" applyFont="1" applyBorder="1" applyAlignment="1">
      <alignment vertical="center"/>
    </xf>
    <xf numFmtId="44" fontId="12" fillId="0" borderId="33" xfId="0" applyNumberFormat="1" applyFont="1" applyBorder="1" applyAlignment="1">
      <alignment vertical="center"/>
    </xf>
    <xf numFmtId="0" fontId="10" fillId="0" borderId="0" xfId="3" applyFont="1" applyFill="1" applyBorder="1" applyAlignment="1">
      <alignment horizontal="center" vertical="center"/>
    </xf>
    <xf numFmtId="164" fontId="13" fillId="0" borderId="26" xfId="3" applyNumberFormat="1" applyFont="1" applyFill="1" applyBorder="1" applyAlignment="1">
      <alignment horizontal="center" vertical="center"/>
    </xf>
    <xf numFmtId="164" fontId="13" fillId="0" borderId="26" xfId="0" applyNumberFormat="1" applyFont="1" applyBorder="1" applyAlignment="1">
      <alignment horizontal="center" vertical="center"/>
    </xf>
    <xf numFmtId="43" fontId="13" fillId="0" borderId="26" xfId="4" applyFont="1" applyFill="1" applyBorder="1" applyAlignment="1">
      <alignment horizontal="center" vertical="center"/>
    </xf>
    <xf numFmtId="43" fontId="12" fillId="0" borderId="26" xfId="4" applyFont="1" applyBorder="1" applyAlignment="1">
      <alignment horizontal="center" vertical="center"/>
    </xf>
    <xf numFmtId="43" fontId="13" fillId="0" borderId="27" xfId="4" applyFont="1" applyFill="1" applyBorder="1" applyAlignment="1">
      <alignment horizontal="center" vertical="center"/>
    </xf>
    <xf numFmtId="43" fontId="12" fillId="5" borderId="1" xfId="4" applyFont="1" applyFill="1" applyBorder="1" applyAlignment="1">
      <alignment horizontal="center"/>
    </xf>
    <xf numFmtId="0" fontId="20" fillId="0" borderId="1" xfId="0" applyFont="1" applyBorder="1" applyAlignment="1">
      <alignment horizontal="center" vertical="center"/>
    </xf>
    <xf numFmtId="44" fontId="20" fillId="0" borderId="1" xfId="1" applyFont="1" applyBorder="1" applyAlignment="1">
      <alignment horizontal="center" vertical="center"/>
    </xf>
    <xf numFmtId="43" fontId="12" fillId="0" borderId="26" xfId="4" applyFont="1" applyBorder="1" applyAlignment="1">
      <alignment horizontal="right" vertical="center"/>
    </xf>
    <xf numFmtId="43" fontId="12" fillId="0" borderId="27" xfId="4" applyFont="1" applyBorder="1" applyAlignment="1">
      <alignment horizontal="right" vertical="center"/>
    </xf>
    <xf numFmtId="43" fontId="12" fillId="0" borderId="1" xfId="4" applyFont="1" applyBorder="1" applyAlignment="1">
      <alignment horizontal="right"/>
    </xf>
    <xf numFmtId="0" fontId="12" fillId="0" borderId="37" xfId="0" applyFont="1" applyBorder="1" applyAlignment="1">
      <alignment horizontal="center" vertical="center"/>
    </xf>
    <xf numFmtId="0" fontId="12" fillId="0" borderId="34" xfId="0" applyFont="1" applyBorder="1" applyAlignment="1">
      <alignment horizontal="center" vertical="center"/>
    </xf>
    <xf numFmtId="44" fontId="10" fillId="0" borderId="15" xfId="3" applyNumberFormat="1" applyFont="1" applyFill="1" applyBorder="1" applyAlignment="1">
      <alignment vertical="center"/>
    </xf>
    <xf numFmtId="0" fontId="10" fillId="0" borderId="31" xfId="3" applyFont="1" applyFill="1" applyBorder="1" applyAlignment="1">
      <alignment horizontal="left" vertical="center" wrapText="1"/>
    </xf>
    <xf numFmtId="0" fontId="10" fillId="0" borderId="8" xfId="3" applyFont="1" applyFill="1" applyBorder="1" applyAlignment="1">
      <alignment horizontal="left" vertical="center" wrapText="1"/>
    </xf>
    <xf numFmtId="0" fontId="27" fillId="0" borderId="31" xfId="3" applyFont="1" applyFill="1" applyBorder="1" applyAlignment="1">
      <alignment horizontal="left" vertical="center" wrapText="1"/>
    </xf>
    <xf numFmtId="0" fontId="10" fillId="0" borderId="35" xfId="3" applyFont="1" applyFill="1" applyBorder="1" applyAlignment="1">
      <alignment horizontal="left" vertical="center" wrapText="1"/>
    </xf>
    <xf numFmtId="0" fontId="10" fillId="0" borderId="32" xfId="3" applyFont="1" applyFill="1" applyBorder="1" applyAlignment="1">
      <alignment horizontal="left" vertical="center" wrapText="1"/>
    </xf>
    <xf numFmtId="0" fontId="15" fillId="5" borderId="1" xfId="0" applyFont="1" applyFill="1" applyBorder="1" applyAlignment="1">
      <alignment horizontal="center"/>
    </xf>
    <xf numFmtId="0" fontId="10" fillId="0" borderId="7" xfId="3" applyFont="1" applyFill="1" applyBorder="1" applyAlignment="1">
      <alignment horizontal="center" vertical="center"/>
    </xf>
    <xf numFmtId="0" fontId="27" fillId="0" borderId="35" xfId="3" applyFont="1" applyFill="1" applyBorder="1" applyAlignment="1">
      <alignment horizontal="left" vertical="center" wrapText="1"/>
    </xf>
    <xf numFmtId="0" fontId="12" fillId="2" borderId="37" xfId="0" applyFont="1" applyFill="1" applyBorder="1" applyAlignment="1">
      <alignment horizontal="center" vertical="center"/>
    </xf>
    <xf numFmtId="0" fontId="10" fillId="2" borderId="31" xfId="3" applyFont="1" applyFill="1" applyBorder="1" applyAlignment="1">
      <alignment horizontal="left" vertical="center" wrapText="1"/>
    </xf>
    <xf numFmtId="0" fontId="10" fillId="0" borderId="7" xfId="3" applyFont="1" applyFill="1" applyBorder="1" applyAlignment="1">
      <alignment horizontal="center"/>
    </xf>
    <xf numFmtId="0" fontId="10" fillId="0" borderId="0" xfId="3" applyFont="1" applyFill="1" applyBorder="1" applyAlignment="1">
      <alignment horizontal="left" vertical="center" wrapText="1"/>
    </xf>
    <xf numFmtId="0" fontId="27" fillId="0" borderId="0" xfId="3" applyFont="1" applyFill="1" applyBorder="1" applyAlignment="1">
      <alignment horizontal="left" vertical="center" wrapText="1"/>
    </xf>
    <xf numFmtId="0" fontId="10" fillId="0" borderId="26" xfId="3" applyFont="1" applyFill="1" applyBorder="1" applyAlignment="1">
      <alignment horizontal="left" vertical="center" wrapText="1"/>
    </xf>
    <xf numFmtId="0" fontId="10" fillId="2" borderId="35" xfId="3" applyFont="1" applyFill="1" applyBorder="1" applyAlignment="1">
      <alignment horizontal="left" vertical="center" wrapText="1"/>
    </xf>
    <xf numFmtId="164" fontId="13" fillId="0" borderId="27" xfId="3" applyNumberFormat="1" applyFont="1" applyFill="1" applyBorder="1" applyAlignment="1">
      <alignment horizontal="center" vertical="center"/>
    </xf>
    <xf numFmtId="43" fontId="12" fillId="0" borderId="26" xfId="4" applyFont="1" applyFill="1" applyBorder="1" applyAlignment="1">
      <alignment horizontal="right" vertical="center"/>
    </xf>
    <xf numFmtId="0" fontId="27" fillId="0" borderId="32" xfId="3" applyFont="1" applyFill="1" applyBorder="1" applyAlignment="1">
      <alignment horizontal="left" vertical="center" wrapText="1"/>
    </xf>
    <xf numFmtId="0" fontId="13" fillId="0" borderId="17" xfId="0" applyFont="1" applyBorder="1"/>
    <xf numFmtId="0" fontId="12" fillId="0" borderId="17" xfId="0" applyFont="1" applyBorder="1"/>
    <xf numFmtId="0" fontId="13" fillId="0" borderId="0" xfId="0" applyFont="1"/>
    <xf numFmtId="43" fontId="12" fillId="0" borderId="17" xfId="0" applyNumberFormat="1" applyFont="1" applyBorder="1" applyAlignment="1">
      <alignment horizontal="right"/>
    </xf>
    <xf numFmtId="43" fontId="12" fillId="0" borderId="17" xfId="0" applyNumberFormat="1" applyFont="1" applyBorder="1"/>
    <xf numFmtId="43" fontId="13" fillId="0" borderId="17" xfId="0" applyNumberFormat="1" applyFont="1" applyBorder="1" applyAlignment="1">
      <alignment horizontal="right"/>
    </xf>
    <xf numFmtId="0" fontId="27" fillId="0" borderId="13" xfId="3" applyFont="1" applyFill="1" applyBorder="1" applyAlignment="1">
      <alignment horizontal="center" vertical="center"/>
    </xf>
    <xf numFmtId="0" fontId="27" fillId="0" borderId="26" xfId="3" applyFont="1" applyFill="1" applyBorder="1" applyAlignment="1">
      <alignment horizontal="center" vertical="center"/>
    </xf>
    <xf numFmtId="0" fontId="27" fillId="0" borderId="33" xfId="3" applyFont="1" applyFill="1" applyBorder="1" applyAlignment="1">
      <alignment horizontal="center" vertical="center"/>
    </xf>
    <xf numFmtId="0" fontId="27" fillId="0" borderId="27" xfId="3" applyFont="1" applyFill="1" applyBorder="1" applyAlignment="1">
      <alignment horizontal="center" vertical="center"/>
    </xf>
    <xf numFmtId="0" fontId="10" fillId="0" borderId="42" xfId="3" applyFont="1" applyFill="1" applyBorder="1" applyAlignment="1">
      <alignment horizontal="left" vertical="center" wrapText="1"/>
    </xf>
    <xf numFmtId="0" fontId="10" fillId="2" borderId="26" xfId="3" applyFont="1" applyFill="1" applyBorder="1" applyAlignment="1">
      <alignment horizontal="left" vertical="center" wrapText="1"/>
    </xf>
    <xf numFmtId="44" fontId="13" fillId="0" borderId="27" xfId="1" applyFont="1" applyFill="1" applyBorder="1" applyAlignment="1">
      <alignment horizontal="center" vertical="center"/>
    </xf>
    <xf numFmtId="0" fontId="12" fillId="2" borderId="15" xfId="0" applyFont="1" applyFill="1" applyBorder="1" applyAlignment="1">
      <alignment horizontal="center" vertical="center"/>
    </xf>
    <xf numFmtId="43" fontId="12" fillId="2" borderId="26" xfId="4" applyFont="1" applyFill="1" applyBorder="1" applyAlignment="1">
      <alignment horizontal="right" vertical="center"/>
    </xf>
    <xf numFmtId="43" fontId="13" fillId="2" borderId="26" xfId="4" applyFont="1" applyFill="1" applyBorder="1" applyAlignment="1">
      <alignment horizontal="center" vertical="center"/>
    </xf>
    <xf numFmtId="164" fontId="13" fillId="2" borderId="26" xfId="3" applyNumberFormat="1" applyFont="1" applyFill="1" applyBorder="1" applyAlignment="1">
      <alignment horizontal="center" vertical="center"/>
    </xf>
    <xf numFmtId="0" fontId="10" fillId="2" borderId="22" xfId="3" applyFont="1" applyFill="1" applyBorder="1" applyAlignment="1">
      <alignment horizontal="left" vertical="center" wrapText="1"/>
    </xf>
    <xf numFmtId="0" fontId="27" fillId="2" borderId="33" xfId="3" applyFont="1" applyFill="1" applyBorder="1" applyAlignment="1">
      <alignment horizontal="center" vertical="center"/>
    </xf>
    <xf numFmtId="0" fontId="12" fillId="0" borderId="9" xfId="0" applyFont="1" applyBorder="1" applyAlignment="1">
      <alignment horizontal="center" vertical="center"/>
    </xf>
    <xf numFmtId="0" fontId="13" fillId="2" borderId="22" xfId="3" applyFont="1" applyFill="1" applyBorder="1" applyAlignment="1">
      <alignment horizontal="center" vertical="center"/>
    </xf>
    <xf numFmtId="0" fontId="12" fillId="0" borderId="0" xfId="0" applyFont="1" applyAlignment="1">
      <alignment horizontal="center" vertical="center"/>
    </xf>
    <xf numFmtId="0" fontId="13" fillId="0" borderId="0" xfId="3" applyFont="1" applyFill="1" applyBorder="1" applyAlignment="1">
      <alignment horizontal="center" vertical="center"/>
    </xf>
    <xf numFmtId="0" fontId="15" fillId="0" borderId="1" xfId="0" applyFont="1" applyBorder="1" applyAlignment="1">
      <alignment horizontal="center" vertical="center"/>
    </xf>
    <xf numFmtId="0" fontId="15" fillId="0" borderId="2" xfId="0" applyFont="1" applyBorder="1" applyAlignment="1">
      <alignment vertical="center"/>
    </xf>
    <xf numFmtId="0" fontId="14" fillId="0" borderId="0" xfId="0" applyFont="1" applyAlignment="1">
      <alignment horizontal="left" vertical="center" wrapText="1"/>
    </xf>
    <xf numFmtId="164" fontId="13" fillId="0" borderId="0" xfId="3" applyNumberFormat="1" applyFont="1" applyFill="1" applyBorder="1" applyAlignment="1">
      <alignment horizontal="center" vertical="center"/>
    </xf>
    <xf numFmtId="43" fontId="12" fillId="0" borderId="1" xfId="0" applyNumberFormat="1" applyFont="1" applyBorder="1" applyAlignment="1">
      <alignment horizontal="right" vertical="center"/>
    </xf>
    <xf numFmtId="0" fontId="12" fillId="0" borderId="43" xfId="0" applyFont="1" applyBorder="1" applyAlignment="1">
      <alignment horizontal="center" vertical="center"/>
    </xf>
    <xf numFmtId="164" fontId="13" fillId="0" borderId="44" xfId="3" applyNumberFormat="1" applyFont="1" applyFill="1" applyBorder="1" applyAlignment="1">
      <alignment horizontal="center" vertical="center"/>
    </xf>
    <xf numFmtId="44" fontId="23" fillId="0" borderId="25" xfId="0" applyNumberFormat="1" applyFont="1" applyBorder="1" applyAlignment="1">
      <alignment vertical="center"/>
    </xf>
    <xf numFmtId="44" fontId="10" fillId="0" borderId="27" xfId="3" applyNumberFormat="1" applyFont="1" applyFill="1" applyBorder="1" applyAlignment="1">
      <alignment horizontal="center" vertical="center"/>
    </xf>
    <xf numFmtId="44" fontId="10" fillId="0" borderId="30" xfId="3" applyNumberFormat="1" applyFont="1" applyFill="1" applyBorder="1" applyAlignment="1">
      <alignment vertical="center"/>
    </xf>
    <xf numFmtId="44" fontId="10" fillId="0" borderId="31" xfId="3" applyNumberFormat="1" applyFont="1" applyFill="1" applyBorder="1" applyAlignment="1">
      <alignment horizontal="center" vertical="center"/>
    </xf>
    <xf numFmtId="43" fontId="12" fillId="0" borderId="15" xfId="4" applyFont="1" applyBorder="1" applyAlignment="1">
      <alignment horizontal="right" vertical="center"/>
    </xf>
    <xf numFmtId="43" fontId="13" fillId="0" borderId="15" xfId="4" applyFont="1" applyFill="1" applyBorder="1" applyAlignment="1">
      <alignment horizontal="center" vertical="center"/>
    </xf>
    <xf numFmtId="0" fontId="12" fillId="0" borderId="45" xfId="0" applyFont="1" applyBorder="1" applyAlignment="1">
      <alignment horizontal="center" vertical="center"/>
    </xf>
    <xf numFmtId="0" fontId="27" fillId="0" borderId="8" xfId="3" applyFont="1" applyFill="1" applyBorder="1" applyAlignment="1">
      <alignment horizontal="left" vertical="center" wrapText="1"/>
    </xf>
    <xf numFmtId="0" fontId="10" fillId="0" borderId="8" xfId="3" applyFont="1" applyFill="1" applyBorder="1" applyAlignment="1">
      <alignment vertical="center" wrapText="1"/>
    </xf>
    <xf numFmtId="0" fontId="10" fillId="0" borderId="15" xfId="3" applyFont="1" applyFill="1" applyBorder="1" applyAlignment="1">
      <alignment horizontal="left" vertical="center" wrapText="1"/>
    </xf>
    <xf numFmtId="43" fontId="12" fillId="0" borderId="15" xfId="4" applyFont="1" applyBorder="1" applyAlignment="1">
      <alignment horizontal="center" vertical="center"/>
    </xf>
    <xf numFmtId="44" fontId="13" fillId="2" borderId="33" xfId="1" applyFont="1" applyFill="1" applyBorder="1" applyAlignment="1">
      <alignment horizontal="right" vertical="center"/>
    </xf>
    <xf numFmtId="0" fontId="12" fillId="0" borderId="46" xfId="0" applyFont="1" applyBorder="1" applyAlignment="1">
      <alignment horizontal="center" vertical="center"/>
    </xf>
    <xf numFmtId="0" fontId="10" fillId="0" borderId="22" xfId="3" applyFont="1" applyFill="1" applyBorder="1" applyAlignment="1">
      <alignment horizontal="left" vertical="center" wrapText="1"/>
    </xf>
    <xf numFmtId="0" fontId="27" fillId="0" borderId="22" xfId="3" applyFont="1" applyFill="1" applyBorder="1" applyAlignment="1">
      <alignment horizontal="left" vertical="center" wrapText="1"/>
    </xf>
    <xf numFmtId="0" fontId="10" fillId="0" borderId="7" xfId="3" applyFont="1" applyFill="1" applyBorder="1" applyAlignment="1">
      <alignment horizontal="left" vertical="center" wrapText="1"/>
    </xf>
    <xf numFmtId="44" fontId="23" fillId="0" borderId="0" xfId="0" applyNumberFormat="1" applyFont="1" applyAlignment="1">
      <alignment vertical="center"/>
    </xf>
    <xf numFmtId="44" fontId="13" fillId="0" borderId="0" xfId="0" applyNumberFormat="1" applyFont="1" applyAlignment="1">
      <alignment vertical="center"/>
    </xf>
    <xf numFmtId="44" fontId="13" fillId="0" borderId="27" xfId="0" applyNumberFormat="1" applyFont="1" applyBorder="1" applyAlignment="1">
      <alignment horizontal="center" vertical="center"/>
    </xf>
    <xf numFmtId="44" fontId="10" fillId="0" borderId="33" xfId="3" applyNumberFormat="1" applyFont="1" applyFill="1" applyBorder="1" applyAlignment="1">
      <alignment horizontal="center" vertical="center"/>
    </xf>
    <xf numFmtId="0" fontId="10" fillId="0" borderId="24" xfId="3" applyFont="1" applyFill="1" applyBorder="1" applyAlignment="1">
      <alignment horizontal="left" vertical="center" wrapText="1"/>
    </xf>
    <xf numFmtId="44" fontId="12" fillId="0" borderId="0" xfId="1" applyFont="1" applyFill="1" applyBorder="1" applyAlignment="1">
      <alignment horizontal="right" vertical="center"/>
    </xf>
    <xf numFmtId="0" fontId="19" fillId="0" borderId="0" xfId="0" applyFont="1" applyAlignment="1">
      <alignment vertical="center"/>
    </xf>
    <xf numFmtId="0" fontId="20" fillId="0" borderId="0" xfId="0" applyFont="1" applyAlignment="1">
      <alignment horizontal="center" vertical="center" wrapText="1"/>
    </xf>
    <xf numFmtId="44" fontId="23" fillId="2" borderId="26" xfId="0" applyNumberFormat="1" applyFont="1" applyFill="1" applyBorder="1" applyAlignment="1">
      <alignment vertical="center"/>
    </xf>
    <xf numFmtId="165" fontId="13" fillId="2" borderId="22" xfId="3" applyNumberFormat="1" applyFont="1" applyFill="1" applyBorder="1" applyAlignment="1">
      <alignment horizontal="center" vertical="center" wrapText="1"/>
    </xf>
    <xf numFmtId="44" fontId="23" fillId="0" borderId="47" xfId="0" applyNumberFormat="1" applyFont="1" applyBorder="1" applyAlignment="1">
      <alignment vertical="center"/>
    </xf>
    <xf numFmtId="0" fontId="15" fillId="5" borderId="14" xfId="0" applyFont="1" applyFill="1" applyBorder="1" applyAlignment="1">
      <alignment vertical="center"/>
    </xf>
    <xf numFmtId="0" fontId="12" fillId="5" borderId="14" xfId="0" applyFont="1" applyFill="1" applyBorder="1" applyAlignment="1">
      <alignment vertical="center" wrapText="1"/>
    </xf>
    <xf numFmtId="165" fontId="12" fillId="5" borderId="14" xfId="0" applyNumberFormat="1" applyFont="1" applyFill="1" applyBorder="1" applyAlignment="1">
      <alignment horizontal="center" vertical="center"/>
    </xf>
    <xf numFmtId="43" fontId="12" fillId="5" borderId="14" xfId="4" applyFont="1" applyFill="1" applyBorder="1" applyAlignment="1">
      <alignment horizontal="center" vertical="center"/>
    </xf>
    <xf numFmtId="44" fontId="12" fillId="5" borderId="14" xfId="1" applyFont="1" applyFill="1" applyBorder="1" applyAlignment="1">
      <alignment horizontal="right" vertical="center"/>
    </xf>
    <xf numFmtId="0" fontId="10" fillId="10" borderId="31" xfId="3" applyFont="1" applyFill="1" applyBorder="1" applyAlignment="1">
      <alignment horizontal="left" vertical="center" wrapText="1"/>
    </xf>
    <xf numFmtId="0" fontId="12" fillId="6" borderId="17" xfId="0" applyFont="1" applyFill="1" applyBorder="1" applyAlignment="1">
      <alignment horizontal="center" vertical="center"/>
    </xf>
    <xf numFmtId="44" fontId="12" fillId="6" borderId="0" xfId="1" applyFont="1" applyFill="1" applyBorder="1" applyAlignment="1">
      <alignment horizontal="right" vertical="center"/>
    </xf>
    <xf numFmtId="0" fontId="12" fillId="6" borderId="0" xfId="0" applyFont="1" applyFill="1"/>
    <xf numFmtId="0" fontId="12" fillId="10" borderId="37" xfId="0" applyFont="1" applyFill="1" applyBorder="1" applyAlignment="1">
      <alignment horizontal="center" vertical="center"/>
    </xf>
    <xf numFmtId="44" fontId="13" fillId="0" borderId="39" xfId="3" applyNumberFormat="1" applyFont="1" applyFill="1" applyBorder="1" applyAlignment="1">
      <alignment horizontal="center" vertical="center"/>
    </xf>
    <xf numFmtId="44" fontId="13" fillId="0" borderId="41" xfId="3" applyNumberFormat="1" applyFont="1" applyFill="1" applyBorder="1" applyAlignment="1">
      <alignment horizontal="center" vertical="center"/>
    </xf>
    <xf numFmtId="44" fontId="13" fillId="10" borderId="41" xfId="3" applyNumberFormat="1" applyFont="1" applyFill="1" applyBorder="1" applyAlignment="1">
      <alignment horizontal="center" vertical="center"/>
    </xf>
    <xf numFmtId="44" fontId="13" fillId="0" borderId="41" xfId="0" applyNumberFormat="1" applyFont="1" applyBorder="1" applyAlignment="1">
      <alignment horizontal="center" vertical="center"/>
    </xf>
    <xf numFmtId="44" fontId="13" fillId="2" borderId="41" xfId="3" applyNumberFormat="1" applyFont="1" applyFill="1" applyBorder="1" applyAlignment="1">
      <alignment horizontal="center" vertical="center"/>
    </xf>
    <xf numFmtId="44" fontId="13" fillId="0" borderId="49" xfId="3" applyNumberFormat="1" applyFont="1" applyFill="1" applyBorder="1" applyAlignment="1">
      <alignment horizontal="center" vertical="center"/>
    </xf>
    <xf numFmtId="44" fontId="13" fillId="0" borderId="50" xfId="3" applyNumberFormat="1" applyFont="1" applyFill="1" applyBorder="1" applyAlignment="1">
      <alignment horizontal="center" vertical="center"/>
    </xf>
    <xf numFmtId="0" fontId="31" fillId="6" borderId="14" xfId="0" applyFont="1" applyFill="1" applyBorder="1" applyAlignment="1">
      <alignment horizontal="center" vertical="center"/>
    </xf>
    <xf numFmtId="0" fontId="31" fillId="0" borderId="7" xfId="0" applyFont="1" applyBorder="1" applyAlignment="1">
      <alignment horizontal="center" vertical="center" wrapText="1"/>
    </xf>
    <xf numFmtId="0" fontId="21" fillId="0" borderId="7" xfId="0" applyFont="1" applyBorder="1" applyAlignment="1">
      <alignment horizontal="center" vertical="center" wrapText="1"/>
    </xf>
    <xf numFmtId="44" fontId="13" fillId="0" borderId="39" xfId="0" applyNumberFormat="1" applyFont="1" applyBorder="1" applyAlignment="1">
      <alignment horizontal="center" vertical="center"/>
    </xf>
    <xf numFmtId="44" fontId="13" fillId="0" borderId="41" xfId="1" applyFont="1" applyFill="1" applyBorder="1" applyAlignment="1">
      <alignment horizontal="right" vertical="center"/>
    </xf>
    <xf numFmtId="44" fontId="13" fillId="0" borderId="51" xfId="3" applyNumberFormat="1" applyFont="1" applyFill="1" applyBorder="1" applyAlignment="1">
      <alignment horizontal="center" vertical="center"/>
    </xf>
    <xf numFmtId="0" fontId="13" fillId="6" borderId="26" xfId="0" applyFont="1" applyFill="1" applyBorder="1" applyAlignment="1">
      <alignment horizontal="center" vertical="center"/>
    </xf>
    <xf numFmtId="0" fontId="13" fillId="10" borderId="39" xfId="3" applyFont="1" applyFill="1" applyBorder="1" applyAlignment="1">
      <alignment horizontal="center" vertical="center"/>
    </xf>
    <xf numFmtId="0" fontId="13" fillId="2" borderId="39" xfId="3" applyFont="1" applyFill="1" applyBorder="1" applyAlignment="1">
      <alignment horizontal="center" vertical="center"/>
    </xf>
    <xf numFmtId="0" fontId="13" fillId="0" borderId="41" xfId="3" applyFont="1" applyFill="1" applyBorder="1" applyAlignment="1">
      <alignment horizontal="center" vertical="center"/>
    </xf>
    <xf numFmtId="0" fontId="13" fillId="0" borderId="49" xfId="3" applyFont="1" applyFill="1" applyBorder="1" applyAlignment="1">
      <alignment horizontal="center" vertical="center"/>
    </xf>
    <xf numFmtId="0" fontId="13" fillId="0" borderId="50" xfId="3" applyFont="1" applyFill="1" applyBorder="1" applyAlignment="1">
      <alignment horizontal="center" vertical="center"/>
    </xf>
    <xf numFmtId="44" fontId="10" fillId="0" borderId="17" xfId="3" applyNumberFormat="1" applyFont="1" applyFill="1" applyBorder="1" applyAlignment="1">
      <alignment horizontal="center" vertical="center"/>
    </xf>
    <xf numFmtId="44" fontId="12" fillId="0" borderId="47" xfId="0" applyNumberFormat="1" applyFont="1" applyBorder="1" applyAlignment="1">
      <alignment vertical="center"/>
    </xf>
    <xf numFmtId="0" fontId="25" fillId="8" borderId="14" xfId="0" applyFont="1" applyFill="1" applyBorder="1" applyAlignment="1">
      <alignment horizontal="center" vertical="center" wrapText="1"/>
    </xf>
    <xf numFmtId="0" fontId="10" fillId="10" borderId="35" xfId="3" applyFont="1" applyFill="1" applyBorder="1" applyAlignment="1">
      <alignment horizontal="left" vertical="center" wrapText="1"/>
    </xf>
    <xf numFmtId="44" fontId="13" fillId="10" borderId="15" xfId="1" applyFont="1" applyFill="1" applyBorder="1" applyAlignment="1">
      <alignment horizontal="center" vertical="center"/>
    </xf>
    <xf numFmtId="0" fontId="12" fillId="6" borderId="26" xfId="0" applyFont="1" applyFill="1" applyBorder="1" applyAlignment="1">
      <alignment horizontal="center" vertical="center"/>
    </xf>
    <xf numFmtId="0" fontId="25" fillId="11" borderId="14" xfId="0" applyFont="1" applyFill="1" applyBorder="1" applyAlignment="1">
      <alignment horizontal="center" vertical="center" wrapText="1"/>
    </xf>
    <xf numFmtId="0" fontId="11" fillId="12" borderId="14" xfId="0" applyFont="1" applyFill="1" applyBorder="1" applyAlignment="1">
      <alignment horizontal="center" vertical="center" wrapText="1"/>
    </xf>
    <xf numFmtId="0" fontId="11" fillId="12" borderId="9" xfId="0" applyFont="1" applyFill="1" applyBorder="1" applyAlignment="1">
      <alignment horizontal="center" vertical="center" wrapText="1"/>
    </xf>
    <xf numFmtId="0" fontId="25" fillId="12" borderId="14" xfId="0" applyFont="1" applyFill="1" applyBorder="1" applyAlignment="1">
      <alignment horizontal="center" vertical="center" wrapText="1"/>
    </xf>
    <xf numFmtId="0" fontId="11" fillId="12" borderId="13" xfId="0" applyFont="1" applyFill="1" applyBorder="1" applyAlignment="1">
      <alignment horizontal="center" vertical="center" wrapText="1"/>
    </xf>
    <xf numFmtId="0" fontId="12" fillId="10" borderId="21" xfId="0" applyFont="1" applyFill="1" applyBorder="1" applyAlignment="1">
      <alignment horizontal="center" vertical="center"/>
    </xf>
    <xf numFmtId="0" fontId="27" fillId="10" borderId="33" xfId="3" applyFont="1" applyFill="1" applyBorder="1" applyAlignment="1">
      <alignment horizontal="center" vertical="center"/>
    </xf>
    <xf numFmtId="0" fontId="12" fillId="0" borderId="53" xfId="0" applyFont="1" applyBorder="1" applyAlignment="1">
      <alignment horizontal="center" vertical="center"/>
    </xf>
    <xf numFmtId="0" fontId="10" fillId="13" borderId="54" xfId="3" applyFont="1" applyFill="1" applyBorder="1" applyAlignment="1">
      <alignment horizontal="left" vertical="center" wrapText="1"/>
    </xf>
    <xf numFmtId="0" fontId="10" fillId="0" borderId="55" xfId="3" applyFont="1" applyBorder="1" applyAlignment="1">
      <alignment horizontal="left" vertical="center" wrapText="1"/>
    </xf>
    <xf numFmtId="0" fontId="10" fillId="0" borderId="51" xfId="3" applyFont="1" applyBorder="1" applyAlignment="1">
      <alignment horizontal="center" vertical="center"/>
    </xf>
    <xf numFmtId="0" fontId="13" fillId="0" borderId="51" xfId="3" applyFont="1" applyBorder="1" applyAlignment="1">
      <alignment horizontal="center" vertical="center"/>
    </xf>
    <xf numFmtId="43" fontId="13" fillId="0" borderId="51" xfId="4" applyFont="1" applyBorder="1" applyAlignment="1">
      <alignment horizontal="center" vertical="center"/>
    </xf>
    <xf numFmtId="0" fontId="10" fillId="0" borderId="56" xfId="3" applyFont="1" applyBorder="1" applyAlignment="1">
      <alignment horizontal="center" vertical="center"/>
    </xf>
    <xf numFmtId="44" fontId="13" fillId="0" borderId="51" xfId="1" applyFont="1" applyBorder="1" applyAlignment="1">
      <alignment horizontal="right" vertical="center"/>
    </xf>
    <xf numFmtId="44" fontId="13" fillId="0" borderId="51" xfId="3" applyNumberFormat="1" applyFont="1" applyBorder="1" applyAlignment="1">
      <alignment horizontal="right" vertical="center"/>
    </xf>
    <xf numFmtId="44" fontId="13" fillId="0" borderId="51" xfId="3" applyNumberFormat="1" applyFont="1" applyBorder="1" applyAlignment="1">
      <alignment horizontal="right" vertical="center" wrapText="1"/>
    </xf>
    <xf numFmtId="44" fontId="10" fillId="0" borderId="51" xfId="3" applyNumberFormat="1" applyFont="1" applyBorder="1" applyAlignment="1">
      <alignment horizontal="center" vertical="center"/>
    </xf>
    <xf numFmtId="44" fontId="23" fillId="0" borderId="51" xfId="0" applyNumberFormat="1" applyFont="1" applyBorder="1" applyAlignment="1">
      <alignment vertical="center"/>
    </xf>
    <xf numFmtId="0" fontId="10" fillId="13" borderId="55" xfId="3" applyFont="1" applyFill="1" applyBorder="1" applyAlignment="1">
      <alignment horizontal="left" vertical="center" wrapText="1"/>
    </xf>
    <xf numFmtId="0" fontId="10" fillId="13" borderId="51" xfId="3" applyFont="1" applyFill="1" applyBorder="1" applyAlignment="1">
      <alignment horizontal="center" vertical="center"/>
    </xf>
    <xf numFmtId="0" fontId="13" fillId="13" borderId="51" xfId="3" applyFont="1" applyFill="1" applyBorder="1" applyAlignment="1">
      <alignment horizontal="center" vertical="center"/>
    </xf>
    <xf numFmtId="43" fontId="13" fillId="13" borderId="51" xfId="4" applyFont="1" applyFill="1" applyBorder="1" applyAlignment="1">
      <alignment horizontal="center" vertical="center"/>
    </xf>
    <xf numFmtId="44" fontId="13" fillId="13" borderId="51" xfId="1" applyFont="1" applyFill="1" applyBorder="1" applyAlignment="1">
      <alignment horizontal="right" vertical="center"/>
    </xf>
    <xf numFmtId="44" fontId="13" fillId="13" borderId="51" xfId="1" applyFont="1" applyFill="1" applyBorder="1" applyAlignment="1">
      <alignment horizontal="right" vertical="center" wrapText="1"/>
    </xf>
    <xf numFmtId="44" fontId="10" fillId="13" borderId="51" xfId="3" applyNumberFormat="1" applyFont="1" applyFill="1" applyBorder="1" applyAlignment="1">
      <alignment horizontal="center" vertical="center"/>
    </xf>
    <xf numFmtId="44" fontId="23" fillId="13" borderId="51" xfId="0" applyNumberFormat="1" applyFont="1" applyFill="1" applyBorder="1" applyAlignment="1">
      <alignment vertical="center"/>
    </xf>
    <xf numFmtId="44" fontId="12" fillId="0" borderId="51" xfId="1" applyFont="1" applyBorder="1" applyAlignment="1">
      <alignment horizontal="right" vertical="center"/>
    </xf>
    <xf numFmtId="44" fontId="12" fillId="0" borderId="51" xfId="1" applyFont="1" applyBorder="1" applyAlignment="1">
      <alignment horizontal="right" vertical="center" wrapText="1"/>
    </xf>
    <xf numFmtId="44" fontId="13" fillId="0" borderId="51" xfId="0" applyNumberFormat="1" applyFont="1" applyBorder="1" applyAlignment="1">
      <alignment vertical="center"/>
    </xf>
    <xf numFmtId="44" fontId="23" fillId="0" borderId="33" xfId="0" applyNumberFormat="1" applyFont="1" applyBorder="1" applyAlignment="1">
      <alignment vertical="center"/>
    </xf>
    <xf numFmtId="44" fontId="10" fillId="13" borderId="51" xfId="3" applyNumberFormat="1" applyFont="1" applyFill="1" applyBorder="1" applyAlignment="1">
      <alignment vertical="center"/>
    </xf>
    <xf numFmtId="0" fontId="10" fillId="10" borderId="55" xfId="3" applyFont="1" applyFill="1" applyBorder="1" applyAlignment="1">
      <alignment horizontal="left" vertical="center" wrapText="1"/>
    </xf>
    <xf numFmtId="0" fontId="10" fillId="10" borderId="51" xfId="3" applyFont="1" applyFill="1" applyBorder="1" applyAlignment="1">
      <alignment horizontal="center" vertical="center"/>
    </xf>
    <xf numFmtId="0" fontId="13" fillId="10" borderId="51" xfId="3" applyFont="1" applyFill="1" applyBorder="1" applyAlignment="1">
      <alignment horizontal="center" vertical="center"/>
    </xf>
    <xf numFmtId="43" fontId="13" fillId="10" borderId="51" xfId="4" applyFont="1" applyFill="1" applyBorder="1" applyAlignment="1">
      <alignment horizontal="center" vertical="center"/>
    </xf>
    <xf numFmtId="44" fontId="13" fillId="10" borderId="51" xfId="1" applyFont="1" applyFill="1" applyBorder="1" applyAlignment="1">
      <alignment horizontal="right" vertical="center"/>
    </xf>
    <xf numFmtId="44" fontId="10" fillId="10" borderId="51" xfId="3" applyNumberFormat="1" applyFont="1" applyFill="1" applyBorder="1" applyAlignment="1">
      <alignment horizontal="center" vertical="center"/>
    </xf>
    <xf numFmtId="0" fontId="28" fillId="13" borderId="51" xfId="3" applyFont="1" applyFill="1" applyBorder="1" applyAlignment="1">
      <alignment horizontal="center" vertical="center"/>
    </xf>
    <xf numFmtId="44" fontId="13" fillId="13" borderId="51" xfId="0" applyNumberFormat="1" applyFont="1" applyFill="1" applyBorder="1" applyAlignment="1">
      <alignment vertical="center"/>
    </xf>
    <xf numFmtId="0" fontId="10" fillId="2" borderId="55" xfId="3" applyFont="1" applyFill="1" applyBorder="1" applyAlignment="1">
      <alignment horizontal="left" vertical="center" wrapText="1"/>
    </xf>
    <xf numFmtId="0" fontId="10" fillId="2" borderId="51" xfId="3" applyFont="1" applyFill="1" applyBorder="1" applyAlignment="1">
      <alignment horizontal="center" vertical="center"/>
    </xf>
    <xf numFmtId="0" fontId="13" fillId="2" borderId="51" xfId="3" applyFont="1" applyFill="1" applyBorder="1" applyAlignment="1">
      <alignment horizontal="center" vertical="center"/>
    </xf>
    <xf numFmtId="43" fontId="13" fillId="2" borderId="51" xfId="4" applyFont="1" applyFill="1" applyBorder="1" applyAlignment="1">
      <alignment horizontal="center" vertical="center"/>
    </xf>
    <xf numFmtId="44" fontId="13" fillId="2" borderId="51" xfId="1" applyFont="1" applyFill="1" applyBorder="1" applyAlignment="1">
      <alignment horizontal="right" vertical="center"/>
    </xf>
    <xf numFmtId="44" fontId="13" fillId="2" borderId="51" xfId="1" applyFont="1" applyFill="1" applyBorder="1" applyAlignment="1">
      <alignment horizontal="right" vertical="center" wrapText="1"/>
    </xf>
    <xf numFmtId="44" fontId="10" fillId="2" borderId="51" xfId="3" applyNumberFormat="1" applyFont="1" applyFill="1" applyBorder="1" applyAlignment="1">
      <alignment horizontal="center" vertical="center"/>
    </xf>
    <xf numFmtId="44" fontId="23" fillId="2" borderId="51" xfId="0" applyNumberFormat="1" applyFont="1" applyFill="1" applyBorder="1" applyAlignment="1">
      <alignment vertical="center"/>
    </xf>
    <xf numFmtId="44" fontId="13" fillId="0" borderId="51" xfId="1" applyFont="1" applyBorder="1" applyAlignment="1">
      <alignment horizontal="right" vertical="center" wrapText="1"/>
    </xf>
    <xf numFmtId="44" fontId="10" fillId="0" borderId="51" xfId="3" applyNumberFormat="1" applyFont="1" applyBorder="1" applyAlignment="1">
      <alignment vertical="center"/>
    </xf>
    <xf numFmtId="44" fontId="13" fillId="13" borderId="51" xfId="3" applyNumberFormat="1" applyFont="1" applyFill="1" applyBorder="1" applyAlignment="1">
      <alignment horizontal="right" vertical="center"/>
    </xf>
    <xf numFmtId="44" fontId="13" fillId="13" borderId="51" xfId="3" applyNumberFormat="1" applyFont="1" applyFill="1" applyBorder="1" applyAlignment="1">
      <alignment horizontal="right" vertical="center" wrapText="1"/>
    </xf>
    <xf numFmtId="0" fontId="12" fillId="0" borderId="51" xfId="0" applyFont="1" applyBorder="1" applyAlignment="1">
      <alignment horizontal="center" vertical="center"/>
    </xf>
    <xf numFmtId="44" fontId="12" fillId="13" borderId="51" xfId="0" applyNumberFormat="1" applyFont="1" applyFill="1" applyBorder="1" applyAlignment="1">
      <alignment horizontal="right" vertical="center" wrapText="1"/>
    </xf>
    <xf numFmtId="44" fontId="13" fillId="2" borderId="51" xfId="0" applyNumberFormat="1" applyFont="1" applyFill="1" applyBorder="1" applyAlignment="1">
      <alignment vertical="center"/>
    </xf>
    <xf numFmtId="44" fontId="12" fillId="13" borderId="33" xfId="0" applyNumberFormat="1" applyFont="1" applyFill="1" applyBorder="1" applyAlignment="1">
      <alignment vertical="center"/>
    </xf>
    <xf numFmtId="44" fontId="23" fillId="10" borderId="33" xfId="0" applyNumberFormat="1" applyFont="1" applyFill="1" applyBorder="1" applyAlignment="1">
      <alignment vertical="center"/>
    </xf>
    <xf numFmtId="44" fontId="12" fillId="2" borderId="33" xfId="0" applyNumberFormat="1" applyFont="1" applyFill="1" applyBorder="1" applyAlignment="1">
      <alignment vertical="center"/>
    </xf>
    <xf numFmtId="44" fontId="12" fillId="13" borderId="35" xfId="0" applyNumberFormat="1" applyFont="1" applyFill="1" applyBorder="1" applyAlignment="1">
      <alignment vertical="center"/>
    </xf>
    <xf numFmtId="44" fontId="12" fillId="10" borderId="33" xfId="0" applyNumberFormat="1" applyFont="1" applyFill="1" applyBorder="1" applyAlignment="1">
      <alignment vertical="center"/>
    </xf>
    <xf numFmtId="0" fontId="12" fillId="0" borderId="0" xfId="0" applyFont="1" applyAlignment="1">
      <alignment horizontal="center" wrapText="1"/>
    </xf>
    <xf numFmtId="0" fontId="12" fillId="0" borderId="0" xfId="0" applyFont="1" applyAlignment="1">
      <alignment wrapText="1"/>
    </xf>
    <xf numFmtId="0" fontId="12" fillId="0" borderId="10" xfId="0" applyFont="1" applyBorder="1"/>
    <xf numFmtId="10" fontId="12" fillId="0" borderId="10" xfId="2" applyNumberFormat="1" applyFont="1" applyFill="1" applyBorder="1"/>
    <xf numFmtId="0" fontId="13" fillId="10" borderId="22" xfId="3" applyFont="1" applyFill="1" applyBorder="1" applyAlignment="1">
      <alignment horizontal="center" vertical="center"/>
    </xf>
    <xf numFmtId="44" fontId="23" fillId="10" borderId="26" xfId="0" applyNumberFormat="1" applyFont="1" applyFill="1" applyBorder="1" applyAlignment="1">
      <alignment vertical="center"/>
    </xf>
    <xf numFmtId="44" fontId="10" fillId="3" borderId="31" xfId="3" applyNumberFormat="1" applyFont="1" applyFill="1" applyBorder="1" applyAlignment="1">
      <alignment horizontal="center" vertical="center"/>
    </xf>
    <xf numFmtId="44" fontId="23" fillId="15" borderId="51" xfId="0" applyNumberFormat="1" applyFont="1" applyFill="1" applyBorder="1" applyAlignment="1">
      <alignment vertical="center"/>
    </xf>
    <xf numFmtId="44" fontId="23" fillId="6" borderId="51" xfId="0" applyNumberFormat="1" applyFont="1" applyFill="1" applyBorder="1" applyAlignment="1">
      <alignment vertical="center"/>
    </xf>
    <xf numFmtId="44" fontId="12" fillId="6" borderId="51" xfId="0" applyNumberFormat="1" applyFont="1" applyFill="1" applyBorder="1" applyAlignment="1">
      <alignment vertical="center"/>
    </xf>
    <xf numFmtId="44" fontId="12" fillId="13" borderId="51" xfId="0" applyNumberFormat="1" applyFont="1" applyFill="1" applyBorder="1" applyAlignment="1">
      <alignment vertical="center"/>
    </xf>
    <xf numFmtId="44" fontId="23" fillId="5" borderId="14" xfId="1" applyFont="1" applyFill="1" applyBorder="1" applyAlignment="1">
      <alignment horizontal="right" vertical="center"/>
    </xf>
    <xf numFmtId="44" fontId="23" fillId="5" borderId="27" xfId="1" applyFont="1" applyFill="1" applyBorder="1" applyAlignment="1">
      <alignment horizontal="right"/>
    </xf>
    <xf numFmtId="44" fontId="12" fillId="16" borderId="51" xfId="0" applyNumberFormat="1" applyFont="1" applyFill="1" applyBorder="1" applyAlignment="1">
      <alignment vertical="center"/>
    </xf>
    <xf numFmtId="44" fontId="12" fillId="10" borderId="51" xfId="0" applyNumberFormat="1" applyFont="1" applyFill="1" applyBorder="1" applyAlignment="1">
      <alignment vertical="center"/>
    </xf>
    <xf numFmtId="0" fontId="15" fillId="2" borderId="2" xfId="0" applyFont="1" applyFill="1" applyBorder="1" applyAlignment="1">
      <alignment wrapText="1"/>
    </xf>
    <xf numFmtId="44" fontId="12" fillId="2" borderId="1" xfId="1" applyFont="1" applyFill="1" applyBorder="1" applyAlignment="1">
      <alignment wrapText="1"/>
    </xf>
    <xf numFmtId="0" fontId="15" fillId="2" borderId="9" xfId="0" applyFont="1" applyFill="1" applyBorder="1" applyAlignment="1">
      <alignment wrapText="1"/>
    </xf>
    <xf numFmtId="0" fontId="15" fillId="10" borderId="9" xfId="0" applyFont="1" applyFill="1" applyBorder="1" applyAlignment="1">
      <alignment wrapText="1"/>
    </xf>
    <xf numFmtId="44" fontId="12" fillId="10" borderId="1" xfId="1" applyFont="1" applyFill="1" applyBorder="1"/>
    <xf numFmtId="44" fontId="12" fillId="2" borderId="1" xfId="1" applyFont="1" applyFill="1" applyBorder="1"/>
    <xf numFmtId="0" fontId="31" fillId="9" borderId="7" xfId="0" applyFont="1" applyFill="1" applyBorder="1" applyAlignment="1">
      <alignment horizontal="center" vertical="center" wrapText="1"/>
    </xf>
    <xf numFmtId="0" fontId="31" fillId="6" borderId="7" xfId="0" applyFont="1" applyFill="1" applyBorder="1" applyAlignment="1">
      <alignment horizontal="center" vertical="center" wrapText="1"/>
    </xf>
    <xf numFmtId="0" fontId="32" fillId="0" borderId="7" xfId="0" applyFont="1" applyBorder="1" applyAlignment="1">
      <alignment horizontal="center" vertical="center" wrapText="1"/>
    </xf>
    <xf numFmtId="0" fontId="32" fillId="0" borderId="13" xfId="0" applyFont="1" applyBorder="1" applyAlignment="1">
      <alignment horizontal="center" vertical="center" wrapText="1"/>
    </xf>
    <xf numFmtId="44" fontId="10" fillId="10" borderId="26" xfId="3" applyNumberFormat="1" applyFont="1" applyFill="1" applyBorder="1" applyAlignment="1">
      <alignment horizontal="center" vertical="center"/>
    </xf>
    <xf numFmtId="44" fontId="12" fillId="10" borderId="26" xfId="0" applyNumberFormat="1" applyFont="1" applyFill="1" applyBorder="1" applyAlignment="1">
      <alignment vertical="center"/>
    </xf>
    <xf numFmtId="44" fontId="12" fillId="10" borderId="47" xfId="0" applyNumberFormat="1" applyFont="1" applyFill="1" applyBorder="1" applyAlignment="1">
      <alignment vertical="center"/>
    </xf>
    <xf numFmtId="44" fontId="34" fillId="2" borderId="26" xfId="3" applyNumberFormat="1" applyFont="1" applyFill="1" applyBorder="1" applyAlignment="1">
      <alignment horizontal="center" vertical="center"/>
    </xf>
    <xf numFmtId="44" fontId="13" fillId="2" borderId="15" xfId="1" applyFont="1" applyFill="1" applyBorder="1" applyAlignment="1">
      <alignment horizontal="center" vertical="center"/>
    </xf>
    <xf numFmtId="44" fontId="13" fillId="2" borderId="26" xfId="0" applyNumberFormat="1" applyFont="1" applyFill="1" applyBorder="1" applyAlignment="1">
      <alignment vertical="center"/>
    </xf>
    <xf numFmtId="44" fontId="13" fillId="2" borderId="47" xfId="0" applyNumberFormat="1" applyFont="1" applyFill="1" applyBorder="1" applyAlignment="1">
      <alignment vertical="center"/>
    </xf>
    <xf numFmtId="44" fontId="13" fillId="17" borderId="51" xfId="1" applyFont="1" applyFill="1" applyBorder="1" applyAlignment="1">
      <alignment horizontal="right" vertical="center"/>
    </xf>
    <xf numFmtId="44" fontId="13" fillId="17" borderId="51" xfId="1" applyFont="1" applyFill="1" applyBorder="1" applyAlignment="1">
      <alignment horizontal="right" vertical="center" wrapText="1"/>
    </xf>
    <xf numFmtId="0" fontId="32" fillId="5" borderId="9" xfId="0" applyFont="1" applyFill="1" applyBorder="1" applyAlignment="1">
      <alignment horizontal="center" vertical="center" wrapText="1"/>
    </xf>
    <xf numFmtId="44" fontId="13" fillId="0" borderId="51" xfId="1" applyFont="1" applyFill="1" applyBorder="1" applyAlignment="1">
      <alignment horizontal="right" vertical="center"/>
    </xf>
    <xf numFmtId="0" fontId="32" fillId="5" borderId="14" xfId="0" applyFont="1" applyFill="1" applyBorder="1" applyAlignment="1">
      <alignment horizontal="center" vertical="center" wrapText="1"/>
    </xf>
    <xf numFmtId="44" fontId="12" fillId="2" borderId="1" xfId="1" applyFont="1" applyFill="1" applyBorder="1" applyAlignment="1">
      <alignment vertical="center"/>
    </xf>
    <xf numFmtId="0" fontId="15" fillId="2" borderId="9" xfId="0" applyFont="1" applyFill="1" applyBorder="1" applyAlignment="1">
      <alignment vertical="center" wrapText="1"/>
    </xf>
    <xf numFmtId="44" fontId="13" fillId="0" borderId="33" xfId="1" applyFont="1" applyFill="1" applyBorder="1" applyAlignment="1">
      <alignment horizontal="right" vertical="center"/>
    </xf>
    <xf numFmtId="44" fontId="13" fillId="10" borderId="41" xfId="1" applyFont="1" applyFill="1" applyBorder="1" applyAlignment="1">
      <alignment horizontal="right" vertical="center"/>
    </xf>
    <xf numFmtId="44" fontId="13" fillId="2" borderId="41" xfId="1" applyFont="1" applyFill="1" applyBorder="1" applyAlignment="1">
      <alignment horizontal="right" vertical="center"/>
    </xf>
    <xf numFmtId="44" fontId="12" fillId="0" borderId="41" xfId="1" applyFont="1" applyFill="1" applyBorder="1" applyAlignment="1">
      <alignment horizontal="right" vertical="center"/>
    </xf>
    <xf numFmtId="44" fontId="13" fillId="0" borderId="50" xfId="1" applyFont="1" applyFill="1" applyBorder="1" applyAlignment="1">
      <alignment horizontal="right" vertical="center"/>
    </xf>
    <xf numFmtId="44" fontId="35" fillId="5" borderId="9" xfId="1" applyFont="1" applyFill="1" applyBorder="1" applyAlignment="1">
      <alignment horizontal="center" vertical="center"/>
    </xf>
    <xf numFmtId="44" fontId="13" fillId="0" borderId="51" xfId="3" applyNumberFormat="1" applyFont="1" applyFill="1" applyBorder="1" applyAlignment="1">
      <alignment horizontal="right" vertical="center"/>
    </xf>
    <xf numFmtId="44" fontId="12" fillId="10" borderId="1" xfId="1" applyFont="1" applyFill="1" applyBorder="1" applyAlignment="1">
      <alignment vertical="center"/>
    </xf>
    <xf numFmtId="0" fontId="13" fillId="0" borderId="0" xfId="3" applyFont="1" applyFill="1" applyBorder="1" applyAlignment="1">
      <alignment wrapText="1"/>
    </xf>
    <xf numFmtId="0" fontId="12" fillId="0" borderId="52" xfId="0" applyFont="1" applyBorder="1" applyAlignment="1">
      <alignment horizontal="center" vertical="center"/>
    </xf>
    <xf numFmtId="0" fontId="12" fillId="0" borderId="47" xfId="0" applyFont="1" applyBorder="1" applyAlignment="1">
      <alignment horizontal="center" vertical="center"/>
    </xf>
    <xf numFmtId="0" fontId="12" fillId="0" borderId="48" xfId="0" applyFont="1" applyBorder="1" applyAlignment="1">
      <alignment horizontal="center" vertical="center"/>
    </xf>
    <xf numFmtId="44" fontId="13" fillId="0" borderId="49" xfId="3" applyNumberFormat="1" applyFont="1" applyBorder="1" applyAlignment="1">
      <alignment vertical="center"/>
    </xf>
    <xf numFmtId="44" fontId="13" fillId="10" borderId="49" xfId="3" applyNumberFormat="1" applyFont="1" applyFill="1" applyBorder="1" applyAlignment="1">
      <alignment vertical="center"/>
    </xf>
    <xf numFmtId="44" fontId="13" fillId="2" borderId="49" xfId="3" applyNumberFormat="1" applyFont="1" applyFill="1" applyBorder="1" applyAlignment="1">
      <alignment vertical="center"/>
    </xf>
    <xf numFmtId="44" fontId="12" fillId="0" borderId="33" xfId="1" applyFont="1" applyFill="1" applyBorder="1" applyAlignment="1">
      <alignment horizontal="right" vertical="center"/>
    </xf>
    <xf numFmtId="0" fontId="13" fillId="0" borderId="57" xfId="3" applyFont="1" applyFill="1" applyBorder="1" applyAlignment="1">
      <alignment horizontal="center" vertical="center"/>
    </xf>
    <xf numFmtId="44" fontId="13" fillId="0" borderId="51" xfId="3" applyNumberFormat="1" applyFont="1" applyBorder="1" applyAlignment="1">
      <alignment vertical="center"/>
    </xf>
    <xf numFmtId="0" fontId="32" fillId="5" borderId="15" xfId="0" applyFont="1" applyFill="1" applyBorder="1" applyAlignment="1">
      <alignment horizontal="center" vertical="center" wrapText="1"/>
    </xf>
    <xf numFmtId="0" fontId="12" fillId="0" borderId="16" xfId="0" applyFont="1" applyBorder="1" applyAlignment="1">
      <alignment horizontal="center" vertical="center"/>
    </xf>
    <xf numFmtId="44" fontId="23" fillId="0" borderId="52" xfId="0" applyNumberFormat="1" applyFont="1" applyBorder="1" applyAlignment="1">
      <alignment vertical="center"/>
    </xf>
    <xf numFmtId="44" fontId="23" fillId="10" borderId="47" xfId="0" applyNumberFormat="1" applyFont="1" applyFill="1" applyBorder="1" applyAlignment="1">
      <alignment vertical="center"/>
    </xf>
    <xf numFmtId="44" fontId="23" fillId="2" borderId="47" xfId="0" applyNumberFormat="1" applyFont="1" applyFill="1" applyBorder="1" applyAlignment="1">
      <alignment vertical="center"/>
    </xf>
    <xf numFmtId="44" fontId="13" fillId="0" borderId="47" xfId="0" applyNumberFormat="1" applyFont="1" applyBorder="1" applyAlignment="1">
      <alignment vertical="center"/>
    </xf>
    <xf numFmtId="0" fontId="24" fillId="4" borderId="14" xfId="0" applyFont="1" applyFill="1" applyBorder="1" applyAlignment="1">
      <alignment horizontal="center" vertical="center" wrapText="1"/>
    </xf>
    <xf numFmtId="44" fontId="13" fillId="0" borderId="33" xfId="0" applyNumberFormat="1" applyFont="1" applyBorder="1" applyAlignment="1">
      <alignment vertical="center"/>
    </xf>
    <xf numFmtId="0" fontId="32" fillId="5" borderId="10" xfId="0" applyFont="1" applyFill="1" applyBorder="1" applyAlignment="1">
      <alignment horizontal="center" vertical="center" wrapText="1"/>
    </xf>
    <xf numFmtId="0" fontId="32" fillId="7" borderId="14" xfId="0" applyFont="1" applyFill="1" applyBorder="1" applyAlignment="1">
      <alignment horizontal="center" vertical="center" wrapText="1"/>
    </xf>
    <xf numFmtId="44" fontId="23" fillId="0" borderId="31" xfId="0" applyNumberFormat="1" applyFont="1" applyBorder="1" applyAlignment="1">
      <alignment vertical="center"/>
    </xf>
    <xf numFmtId="44" fontId="23" fillId="0" borderId="48" xfId="0" applyNumberFormat="1" applyFont="1" applyBorder="1" applyAlignment="1">
      <alignment horizontal="center" vertical="center"/>
    </xf>
    <xf numFmtId="164" fontId="22" fillId="18" borderId="1" xfId="3" applyNumberFormat="1" applyFont="1" applyFill="1" applyBorder="1" applyAlignment="1">
      <alignment horizontal="left" vertical="center"/>
    </xf>
    <xf numFmtId="44" fontId="12" fillId="18" borderId="1" xfId="0" applyNumberFormat="1" applyFont="1" applyFill="1" applyBorder="1" applyAlignment="1">
      <alignment horizontal="right" vertical="center"/>
    </xf>
    <xf numFmtId="164" fontId="13" fillId="18" borderId="1" xfId="3" applyNumberFormat="1" applyFont="1" applyFill="1" applyBorder="1" applyAlignment="1">
      <alignment horizontal="left" vertical="center"/>
    </xf>
    <xf numFmtId="166" fontId="12" fillId="18" borderId="1" xfId="0" applyNumberFormat="1" applyFont="1" applyFill="1" applyBorder="1" applyAlignment="1">
      <alignment horizontal="right" vertical="center"/>
    </xf>
    <xf numFmtId="10" fontId="12" fillId="18" borderId="1" xfId="0" applyNumberFormat="1" applyFont="1" applyFill="1" applyBorder="1" applyAlignment="1">
      <alignment horizontal="right" vertical="center"/>
    </xf>
    <xf numFmtId="164" fontId="22" fillId="2" borderId="1" xfId="3" applyNumberFormat="1" applyFont="1" applyFill="1" applyBorder="1" applyAlignment="1">
      <alignment horizontal="left" vertical="center"/>
    </xf>
    <xf numFmtId="44" fontId="12" fillId="2" borderId="1" xfId="0" applyNumberFormat="1" applyFont="1" applyFill="1" applyBorder="1" applyAlignment="1">
      <alignment horizontal="right" vertical="center"/>
    </xf>
    <xf numFmtId="164" fontId="13" fillId="2" borderId="1" xfId="3" applyNumberFormat="1" applyFont="1" applyFill="1" applyBorder="1" applyAlignment="1">
      <alignment horizontal="left" vertical="center"/>
    </xf>
    <xf numFmtId="166" fontId="12" fillId="2" borderId="1" xfId="0" applyNumberFormat="1" applyFont="1" applyFill="1" applyBorder="1" applyAlignment="1">
      <alignment horizontal="right" vertical="center"/>
    </xf>
    <xf numFmtId="10" fontId="12" fillId="2" borderId="1" xfId="0" applyNumberFormat="1" applyFont="1" applyFill="1" applyBorder="1" applyAlignment="1">
      <alignment horizontal="right" vertical="center"/>
    </xf>
    <xf numFmtId="44" fontId="12" fillId="10" borderId="14" xfId="1" applyFont="1" applyFill="1" applyBorder="1" applyAlignment="1">
      <alignment vertical="center" wrapText="1"/>
    </xf>
    <xf numFmtId="44" fontId="12" fillId="10" borderId="1" xfId="1" applyFont="1" applyFill="1" applyBorder="1" applyAlignment="1">
      <alignment vertical="center" wrapText="1"/>
    </xf>
    <xf numFmtId="0" fontId="10" fillId="19" borderId="51" xfId="3" applyFont="1" applyFill="1" applyBorder="1" applyAlignment="1">
      <alignment horizontal="center" vertical="center"/>
    </xf>
    <xf numFmtId="0" fontId="10" fillId="20" borderId="51" xfId="3" applyFont="1" applyFill="1" applyBorder="1" applyAlignment="1">
      <alignment horizontal="center" vertical="center"/>
    </xf>
    <xf numFmtId="0" fontId="10" fillId="0" borderId="54" xfId="3" applyFont="1" applyFill="1" applyBorder="1" applyAlignment="1">
      <alignment horizontal="left" vertical="center" wrapText="1"/>
    </xf>
    <xf numFmtId="0" fontId="10" fillId="0" borderId="55" xfId="3" applyFont="1" applyFill="1" applyBorder="1" applyAlignment="1">
      <alignment horizontal="left" vertical="center" wrapText="1"/>
    </xf>
    <xf numFmtId="44" fontId="10" fillId="13" borderId="56" xfId="3" applyNumberFormat="1" applyFont="1" applyFill="1" applyBorder="1" applyAlignment="1">
      <alignment horizontal="center" vertical="center"/>
    </xf>
    <xf numFmtId="0" fontId="10" fillId="0" borderId="58" xfId="3" applyFont="1" applyFill="1" applyBorder="1" applyAlignment="1">
      <alignment horizontal="left" vertical="center" wrapText="1"/>
    </xf>
    <xf numFmtId="44" fontId="13" fillId="0" borderId="39" xfId="1" applyFont="1" applyFill="1" applyBorder="1" applyAlignment="1">
      <alignment horizontal="right" vertical="center"/>
    </xf>
    <xf numFmtId="0" fontId="10" fillId="0" borderId="59" xfId="3" applyFont="1" applyFill="1" applyBorder="1" applyAlignment="1">
      <alignment horizontal="left" vertical="center" wrapText="1"/>
    </xf>
    <xf numFmtId="0" fontId="10" fillId="10" borderId="59" xfId="3" applyFont="1" applyFill="1" applyBorder="1" applyAlignment="1">
      <alignment horizontal="left" vertical="center" wrapText="1"/>
    </xf>
    <xf numFmtId="0" fontId="10" fillId="2" borderId="59" xfId="3" applyFont="1" applyFill="1" applyBorder="1" applyAlignment="1">
      <alignment horizontal="left" vertical="center" wrapText="1"/>
    </xf>
    <xf numFmtId="44" fontId="13" fillId="0" borderId="5" xfId="1" applyFont="1" applyFill="1" applyBorder="1" applyAlignment="1">
      <alignment horizontal="right" vertical="center"/>
    </xf>
    <xf numFmtId="44" fontId="12" fillId="0" borderId="51" xfId="1" applyFont="1" applyFill="1" applyBorder="1" applyAlignment="1">
      <alignment horizontal="right" vertical="center"/>
    </xf>
    <xf numFmtId="44" fontId="13" fillId="0" borderId="5" xfId="3" applyNumberFormat="1" applyFont="1" applyFill="1" applyBorder="1" applyAlignment="1">
      <alignment horizontal="right" vertical="center"/>
    </xf>
    <xf numFmtId="44" fontId="12" fillId="0" borderId="51" xfId="0" applyNumberFormat="1" applyFont="1" applyBorder="1" applyAlignment="1">
      <alignment vertical="center"/>
    </xf>
    <xf numFmtId="44" fontId="13" fillId="0" borderId="12" xfId="3" applyNumberFormat="1" applyFont="1" applyFill="1" applyBorder="1" applyAlignment="1">
      <alignment horizontal="right" vertical="center"/>
    </xf>
    <xf numFmtId="44" fontId="13" fillId="10" borderId="33" xfId="1" applyFont="1" applyFill="1" applyBorder="1" applyAlignment="1">
      <alignment horizontal="right" vertical="center"/>
    </xf>
    <xf numFmtId="44" fontId="13" fillId="0" borderId="33" xfId="3" applyNumberFormat="1" applyFont="1" applyFill="1" applyBorder="1" applyAlignment="1">
      <alignment horizontal="right" vertical="center"/>
    </xf>
    <xf numFmtId="0" fontId="12" fillId="0" borderId="41" xfId="0" applyFont="1" applyBorder="1" applyAlignment="1">
      <alignment horizontal="center" vertical="center"/>
    </xf>
    <xf numFmtId="0" fontId="10" fillId="0" borderId="12" xfId="3" applyFont="1" applyFill="1" applyBorder="1" applyAlignment="1">
      <alignment horizontal="left" vertical="center" wrapText="1"/>
    </xf>
    <xf numFmtId="0" fontId="10" fillId="0" borderId="33" xfId="3" applyFont="1" applyFill="1" applyBorder="1" applyAlignment="1">
      <alignment horizontal="left" vertical="center" wrapText="1"/>
    </xf>
    <xf numFmtId="0" fontId="10" fillId="10" borderId="33" xfId="3" applyFont="1" applyFill="1" applyBorder="1" applyAlignment="1">
      <alignment horizontal="left" vertical="center" wrapText="1"/>
    </xf>
    <xf numFmtId="0" fontId="10" fillId="2" borderId="33" xfId="3" applyFont="1" applyFill="1" applyBorder="1" applyAlignment="1">
      <alignment horizontal="left" vertical="center" wrapText="1"/>
    </xf>
    <xf numFmtId="0" fontId="15" fillId="2" borderId="2" xfId="0" applyFont="1" applyFill="1" applyBorder="1" applyAlignment="1">
      <alignment vertical="center" wrapText="1"/>
    </xf>
    <xf numFmtId="44" fontId="13" fillId="0" borderId="5" xfId="1" applyFont="1" applyFill="1" applyBorder="1" applyAlignment="1">
      <alignment horizontal="right" vertical="center" wrapText="1"/>
    </xf>
    <xf numFmtId="44" fontId="13" fillId="0" borderId="51" xfId="3" applyNumberFormat="1" applyFont="1" applyFill="1" applyBorder="1" applyAlignment="1">
      <alignment horizontal="right" vertical="center" wrapText="1"/>
    </xf>
    <xf numFmtId="44" fontId="13" fillId="0" borderId="51" xfId="1" applyFont="1" applyFill="1" applyBorder="1" applyAlignment="1">
      <alignment horizontal="right" vertical="center" wrapText="1"/>
    </xf>
    <xf numFmtId="44" fontId="12" fillId="0" borderId="51" xfId="1" applyFont="1" applyFill="1" applyBorder="1" applyAlignment="1">
      <alignment horizontal="right" vertical="center" wrapText="1"/>
    </xf>
    <xf numFmtId="44" fontId="12" fillId="0" borderId="51" xfId="0" applyNumberFormat="1" applyFont="1" applyBorder="1" applyAlignment="1">
      <alignment horizontal="right" vertical="center" wrapText="1"/>
    </xf>
    <xf numFmtId="44" fontId="13" fillId="10" borderId="51" xfId="1" applyFont="1" applyFill="1" applyBorder="1" applyAlignment="1">
      <alignment horizontal="right" vertical="center" wrapText="1"/>
    </xf>
    <xf numFmtId="44" fontId="10" fillId="0" borderId="31" xfId="3" applyNumberFormat="1" applyFont="1" applyFill="1" applyBorder="1" applyAlignment="1">
      <alignment vertical="center"/>
    </xf>
    <xf numFmtId="44" fontId="13" fillId="14" borderId="31" xfId="1" applyFont="1" applyFill="1" applyBorder="1" applyAlignment="1">
      <alignment vertical="center"/>
    </xf>
    <xf numFmtId="44" fontId="10" fillId="0" borderId="35" xfId="3" applyNumberFormat="1" applyFont="1" applyFill="1" applyBorder="1" applyAlignment="1">
      <alignment horizontal="center" vertical="center"/>
    </xf>
    <xf numFmtId="44" fontId="13" fillId="0" borderId="12" xfId="1" applyFont="1" applyFill="1" applyBorder="1" applyAlignment="1">
      <alignment horizontal="right" vertical="center"/>
    </xf>
    <xf numFmtId="0" fontId="10" fillId="0" borderId="48" xfId="3" applyFont="1" applyFill="1" applyBorder="1" applyAlignment="1">
      <alignment horizontal="left" vertical="center" wrapText="1"/>
    </xf>
    <xf numFmtId="44" fontId="13" fillId="0" borderId="27" xfId="1" applyFont="1" applyFill="1" applyBorder="1" applyAlignment="1">
      <alignment horizontal="right" vertical="center"/>
    </xf>
    <xf numFmtId="0" fontId="12" fillId="20" borderId="0" xfId="0" applyFont="1" applyFill="1" applyAlignment="1">
      <alignment vertical="top" wrapText="1"/>
    </xf>
    <xf numFmtId="0" fontId="15" fillId="0" borderId="0" xfId="0" applyFont="1" applyAlignment="1">
      <alignment vertical="center"/>
    </xf>
    <xf numFmtId="0" fontId="10" fillId="0" borderId="5" xfId="3" applyFont="1" applyFill="1" applyBorder="1" applyAlignment="1">
      <alignment horizontal="center" vertical="center"/>
    </xf>
    <xf numFmtId="0" fontId="13" fillId="0" borderId="5" xfId="3" applyFont="1" applyFill="1" applyBorder="1" applyAlignment="1">
      <alignment horizontal="center" vertical="center"/>
    </xf>
    <xf numFmtId="43" fontId="13" fillId="0" borderId="5" xfId="4" applyFont="1" applyFill="1" applyBorder="1" applyAlignment="1">
      <alignment horizontal="center" vertical="center"/>
    </xf>
    <xf numFmtId="44" fontId="10" fillId="0" borderId="5" xfId="3" applyNumberFormat="1" applyFont="1" applyFill="1" applyBorder="1" applyAlignment="1">
      <alignment vertical="center"/>
    </xf>
    <xf numFmtId="44" fontId="12" fillId="0" borderId="5" xfId="0" applyNumberFormat="1" applyFont="1" applyBorder="1" applyAlignment="1">
      <alignment vertical="center"/>
    </xf>
    <xf numFmtId="44" fontId="10" fillId="0" borderId="5" xfId="3" applyNumberFormat="1" applyFont="1" applyFill="1" applyBorder="1" applyAlignment="1">
      <alignment horizontal="center" vertical="center"/>
    </xf>
    <xf numFmtId="0" fontId="10" fillId="0" borderId="51" xfId="3" applyFont="1" applyFill="1" applyBorder="1" applyAlignment="1">
      <alignment horizontal="center" vertical="center"/>
    </xf>
    <xf numFmtId="0" fontId="13" fillId="0" borderId="51" xfId="3" applyFont="1" applyFill="1" applyBorder="1" applyAlignment="1">
      <alignment horizontal="center" vertical="center"/>
    </xf>
    <xf numFmtId="43" fontId="13" fillId="0" borderId="51" xfId="4" applyFont="1" applyFill="1" applyBorder="1" applyAlignment="1">
      <alignment horizontal="center" vertical="center"/>
    </xf>
    <xf numFmtId="44" fontId="10" fillId="0" borderId="51" xfId="3" applyNumberFormat="1" applyFont="1" applyFill="1" applyBorder="1" applyAlignment="1">
      <alignment vertical="center"/>
    </xf>
    <xf numFmtId="44" fontId="10" fillId="0" borderId="51" xfId="3" applyNumberFormat="1" applyFont="1" applyFill="1" applyBorder="1" applyAlignment="1">
      <alignment horizontal="center" vertical="center"/>
    </xf>
    <xf numFmtId="43" fontId="12" fillId="0" borderId="51" xfId="4" applyFont="1" applyFill="1" applyBorder="1" applyAlignment="1">
      <alignment horizontal="center" vertical="center"/>
    </xf>
    <xf numFmtId="44" fontId="12" fillId="0" borderId="0" xfId="0" applyNumberFormat="1" applyFont="1" applyAlignment="1">
      <alignment vertical="center"/>
    </xf>
    <xf numFmtId="44" fontId="10" fillId="10" borderId="47" xfId="3" applyNumberFormat="1" applyFont="1" applyFill="1" applyBorder="1" applyAlignment="1">
      <alignment horizontal="center" vertical="center"/>
    </xf>
    <xf numFmtId="44" fontId="23" fillId="13" borderId="47" xfId="0" applyNumberFormat="1" applyFont="1" applyFill="1" applyBorder="1" applyAlignment="1">
      <alignment vertical="center"/>
    </xf>
    <xf numFmtId="44" fontId="12" fillId="0" borderId="16" xfId="0" applyNumberFormat="1" applyFont="1" applyBorder="1" applyAlignment="1">
      <alignment vertical="center"/>
    </xf>
    <xf numFmtId="44" fontId="12" fillId="2" borderId="22" xfId="0" applyNumberFormat="1" applyFont="1" applyFill="1" applyBorder="1" applyAlignment="1">
      <alignment vertical="center"/>
    </xf>
    <xf numFmtId="44" fontId="12" fillId="0" borderId="22" xfId="0" applyNumberFormat="1" applyFont="1" applyBorder="1" applyAlignment="1">
      <alignment vertical="center"/>
    </xf>
    <xf numFmtId="44" fontId="23" fillId="13" borderId="26" xfId="0" applyNumberFormat="1" applyFont="1" applyFill="1" applyBorder="1" applyAlignment="1">
      <alignment vertical="center"/>
    </xf>
    <xf numFmtId="0" fontId="26" fillId="4" borderId="5" xfId="0" applyFont="1" applyFill="1" applyBorder="1" applyAlignment="1">
      <alignment horizontal="center" vertical="center"/>
    </xf>
    <xf numFmtId="0" fontId="26" fillId="4" borderId="18" xfId="0" applyFont="1" applyFill="1" applyBorder="1" applyAlignment="1">
      <alignment horizontal="center" vertical="center"/>
    </xf>
    <xf numFmtId="0" fontId="26" fillId="4" borderId="6" xfId="0" applyFont="1" applyFill="1" applyBorder="1" applyAlignment="1">
      <alignment horizontal="center" vertical="center"/>
    </xf>
    <xf numFmtId="0" fontId="14" fillId="0" borderId="41" xfId="0" applyFont="1" applyBorder="1" applyAlignment="1">
      <alignment horizontal="left" vertical="center"/>
    </xf>
    <xf numFmtId="0" fontId="14" fillId="0" borderId="38" xfId="0" applyFont="1" applyBorder="1" applyAlignment="1">
      <alignment horizontal="left" vertical="center"/>
    </xf>
    <xf numFmtId="0" fontId="14" fillId="0" borderId="18" xfId="0" applyFont="1" applyBorder="1" applyAlignment="1">
      <alignment horizontal="left" vertical="center" wrapText="1"/>
    </xf>
    <xf numFmtId="0" fontId="12" fillId="0" borderId="18" xfId="0" applyFont="1" applyBorder="1" applyAlignment="1">
      <alignment horizontal="left" vertical="center"/>
    </xf>
    <xf numFmtId="0" fontId="19" fillId="4" borderId="10" xfId="0" applyFont="1" applyFill="1" applyBorder="1" applyAlignment="1">
      <alignment horizontal="center" vertical="center" wrapText="1"/>
    </xf>
    <xf numFmtId="0" fontId="19" fillId="4" borderId="10" xfId="0" applyFont="1" applyFill="1" applyBorder="1" applyAlignment="1">
      <alignment horizontal="center" vertical="center"/>
    </xf>
    <xf numFmtId="0" fontId="12" fillId="0" borderId="2" xfId="0" applyFont="1" applyBorder="1" applyAlignment="1">
      <alignment horizontal="center" vertical="top" wrapText="1"/>
    </xf>
    <xf numFmtId="0" fontId="12" fillId="0" borderId="3" xfId="0" applyFont="1" applyBorder="1" applyAlignment="1">
      <alignment horizontal="center" vertical="top" wrapText="1"/>
    </xf>
    <xf numFmtId="0" fontId="12" fillId="0" borderId="4" xfId="0" applyFont="1" applyBorder="1" applyAlignment="1">
      <alignment horizontal="center" vertical="top" wrapText="1"/>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4" xfId="0" applyFont="1" applyBorder="1" applyAlignment="1">
      <alignment horizontal="center" vertical="center"/>
    </xf>
    <xf numFmtId="44" fontId="12" fillId="17" borderId="18" xfId="1" applyFont="1" applyFill="1" applyBorder="1" applyAlignment="1">
      <alignment horizontal="left" vertical="top" wrapText="1"/>
    </xf>
    <xf numFmtId="44" fontId="12" fillId="17" borderId="6" xfId="1" applyFont="1" applyFill="1" applyBorder="1" applyAlignment="1">
      <alignment horizontal="left" vertical="top" wrapText="1"/>
    </xf>
    <xf numFmtId="0" fontId="14" fillId="0" borderId="18" xfId="0" applyFont="1" applyBorder="1" applyAlignment="1">
      <alignment horizontal="left" vertical="center"/>
    </xf>
    <xf numFmtId="0" fontId="21" fillId="4" borderId="2" xfId="0" applyFont="1" applyFill="1" applyBorder="1" applyAlignment="1">
      <alignment horizontal="center"/>
    </xf>
    <xf numFmtId="0" fontId="21" fillId="4" borderId="3" xfId="0" applyFont="1" applyFill="1" applyBorder="1" applyAlignment="1">
      <alignment horizontal="center"/>
    </xf>
    <xf numFmtId="0" fontId="21" fillId="4" borderId="4" xfId="0" applyFont="1" applyFill="1" applyBorder="1" applyAlignment="1">
      <alignment horizontal="center"/>
    </xf>
    <xf numFmtId="0" fontId="14" fillId="0" borderId="39" xfId="0" applyFont="1" applyBorder="1" applyAlignment="1">
      <alignment horizontal="left" vertical="center"/>
    </xf>
    <xf numFmtId="0" fontId="14" fillId="0" borderId="40" xfId="0" applyFont="1" applyBorder="1" applyAlignment="1">
      <alignment horizontal="left" vertical="center"/>
    </xf>
    <xf numFmtId="0" fontId="2" fillId="0" borderId="0" xfId="0" applyFont="1" applyAlignment="1">
      <alignment horizontal="center" vertical="center"/>
    </xf>
  </cellXfs>
  <cellStyles count="5">
    <cellStyle name="Comma" xfId="4" builtinId="3"/>
    <cellStyle name="Currency" xfId="1" builtinId="4"/>
    <cellStyle name="Hyperlink" xfId="3" builtinId="8"/>
    <cellStyle name="Normal" xfId="0" builtinId="0"/>
    <cellStyle name="Percent" xfId="2" builtinId="5"/>
  </cellStyles>
  <dxfs count="84">
    <dxf>
      <font>
        <b val="0"/>
        <i val="0"/>
        <strike val="0"/>
        <condense val="0"/>
        <extend val="0"/>
        <outline val="0"/>
        <shadow val="0"/>
        <u val="none"/>
        <vertAlign val="baseline"/>
        <sz val="12"/>
        <color theme="1"/>
        <name val="Arial"/>
        <family val="2"/>
        <scheme val="none"/>
      </font>
      <numFmt numFmtId="34" formatCode="_(&quot;$&quot;* #,##0.00_);_(&quot;$&quot;* \(#,##0.00\);_(&quot;$&quot;* &quot;-&quot;??_);_(@_)"/>
      <alignment horizontal="general" vertical="center" textRotation="0" wrapText="0" indent="0" justifyLastLine="0" shrinkToFit="0" readingOrder="0"/>
      <border diagonalUp="0" diagonalDown="0">
        <left style="medium">
          <color indexed="64"/>
        </left>
        <right/>
        <top style="thin">
          <color auto="1"/>
        </top>
        <bottom style="thin">
          <color auto="1"/>
        </bottom>
        <vertical/>
        <horizontal/>
      </border>
    </dxf>
    <dxf>
      <font>
        <b val="0"/>
        <i val="0"/>
        <strike val="0"/>
        <condense val="0"/>
        <extend val="0"/>
        <outline val="0"/>
        <shadow val="0"/>
        <u val="none"/>
        <vertAlign val="baseline"/>
        <sz val="12"/>
        <color theme="1"/>
        <name val="Arial"/>
        <family val="2"/>
        <scheme val="none"/>
      </font>
      <numFmt numFmtId="34" formatCode="_(&quot;$&quot;* #,##0.00_);_(&quot;$&quot;* \(#,##0.00\);_(&quot;$&quot;* &quot;-&quot;??_);_(@_)"/>
      <alignment horizontal="general" vertical="center" textRotation="0" wrapText="0" indent="0" justifyLastLine="0" shrinkToFit="0" readingOrder="0"/>
      <border diagonalUp="0" diagonalDown="0">
        <left style="medium">
          <color indexed="64"/>
        </left>
        <right style="medium">
          <color indexed="64"/>
        </right>
        <top style="thin">
          <color auto="1"/>
        </top>
        <bottom style="thin">
          <color auto="1"/>
        </bottom>
        <vertical/>
        <horizontal/>
      </border>
    </dxf>
    <dxf>
      <font>
        <b val="0"/>
        <i val="0"/>
        <strike val="0"/>
        <condense val="0"/>
        <extend val="0"/>
        <outline val="0"/>
        <shadow val="0"/>
        <u/>
        <vertAlign val="baseline"/>
        <sz val="12"/>
        <color theme="10"/>
        <name val="Arial"/>
        <family val="2"/>
        <scheme val="none"/>
      </font>
      <numFmt numFmtId="34" formatCode="_(&quot;$&quot;* #,##0.00_);_(&quot;$&quot;* \(#,##0.00\);_(&quot;$&quot;* &quot;-&quot;??_);_(@_)"/>
      <fill>
        <patternFill patternType="none">
          <fgColor indexed="64"/>
          <bgColor indexed="65"/>
        </patternFill>
      </fill>
      <alignment horizontal="center" vertical="center" textRotation="0" wrapText="0" indent="0" justifyLastLine="0" shrinkToFit="0" readingOrder="0"/>
      <border diagonalUp="0" diagonalDown="0">
        <left style="medium">
          <color indexed="64"/>
        </left>
        <right style="medium">
          <color indexed="64"/>
        </right>
        <top style="thin">
          <color auto="1"/>
        </top>
        <bottom/>
        <vertical/>
        <horizontal/>
      </border>
    </dxf>
    <dxf>
      <font>
        <b val="0"/>
        <i val="0"/>
        <strike val="0"/>
        <condense val="0"/>
        <extend val="0"/>
        <outline val="0"/>
        <shadow val="0"/>
        <u/>
        <vertAlign val="baseline"/>
        <sz val="12"/>
        <color theme="10"/>
        <name val="Arial"/>
        <family val="2"/>
        <scheme val="none"/>
      </font>
      <numFmt numFmtId="34" formatCode="_(&quot;$&quot;* #,##0.00_);_(&quot;$&quot;* \(#,##0.00\);_(&quot;$&quot;* &quot;-&quot;??_);_(@_)"/>
      <fill>
        <patternFill patternType="none">
          <fgColor indexed="64"/>
          <bgColor indexed="65"/>
        </patternFill>
      </fill>
      <alignment horizontal="center" vertical="center" textRotation="0" wrapText="0" indent="0" justifyLastLine="0" shrinkToFit="0" readingOrder="0"/>
      <border diagonalUp="0" diagonalDown="0">
        <left style="medium">
          <color indexed="64"/>
        </left>
        <right style="medium">
          <color indexed="64"/>
        </right>
        <top style="thin">
          <color auto="1"/>
        </top>
        <bottom/>
        <vertical/>
        <horizontal/>
      </border>
    </dxf>
    <dxf>
      <font>
        <b val="0"/>
        <i val="0"/>
        <strike val="0"/>
        <condense val="0"/>
        <extend val="0"/>
        <outline val="0"/>
        <shadow val="0"/>
        <u val="none"/>
        <vertAlign val="baseline"/>
        <sz val="12"/>
        <color auto="1"/>
        <name val="Arial"/>
        <family val="2"/>
        <scheme val="none"/>
      </font>
      <fill>
        <patternFill patternType="none">
          <fgColor indexed="64"/>
          <bgColor indexed="65"/>
        </patternFill>
      </fill>
      <alignment horizontal="center" vertical="center" textRotation="0" wrapText="0" indent="0" justifyLastLine="0" shrinkToFit="0" readingOrder="0"/>
      <border diagonalUp="0" diagonalDown="0">
        <left style="medium">
          <color indexed="64"/>
        </left>
        <right style="medium">
          <color indexed="64"/>
        </right>
        <top/>
        <bottom style="thin">
          <color indexed="64"/>
        </bottom>
        <vertical/>
        <horizontal/>
      </border>
    </dxf>
    <dxf>
      <font>
        <b val="0"/>
        <i val="0"/>
        <strike val="0"/>
        <condense val="0"/>
        <extend val="0"/>
        <outline val="0"/>
        <shadow val="0"/>
        <u val="none"/>
        <vertAlign val="baseline"/>
        <sz val="12"/>
        <color auto="1"/>
        <name val="Arial"/>
        <family val="2"/>
        <scheme val="none"/>
      </font>
      <fill>
        <patternFill patternType="none">
          <fgColor indexed="64"/>
          <bgColor indexed="65"/>
        </patternFill>
      </fill>
      <alignment horizontal="center" vertical="center" textRotation="0" wrapText="0" indent="0" justifyLastLine="0" shrinkToFit="0" readingOrder="0"/>
      <border diagonalUp="0" diagonalDown="0">
        <left style="medium">
          <color indexed="64"/>
        </left>
        <right style="medium">
          <color indexed="64"/>
        </right>
        <top/>
        <bottom style="thin">
          <color indexed="64"/>
        </bottom>
        <vertical/>
        <horizontal/>
      </border>
    </dxf>
    <dxf>
      <font>
        <b val="0"/>
        <i val="0"/>
        <strike val="0"/>
        <condense val="0"/>
        <extend val="0"/>
        <outline val="0"/>
        <shadow val="0"/>
        <u val="none"/>
        <vertAlign val="baseline"/>
        <sz val="12"/>
        <color auto="1"/>
        <name val="Arial"/>
        <family val="2"/>
        <scheme val="none"/>
      </font>
      <fill>
        <patternFill patternType="none">
          <fgColor indexed="64"/>
          <bgColor indexed="65"/>
        </patternFill>
      </fill>
      <alignment horizontal="center" vertical="center" textRotation="0" wrapText="0" indent="0" justifyLastLine="0" shrinkToFit="0" readingOrder="0"/>
      <border diagonalUp="0" diagonalDown="0">
        <left style="medium">
          <color indexed="64"/>
        </left>
        <right style="medium">
          <color indexed="64"/>
        </right>
        <top style="thin">
          <color auto="1"/>
        </top>
        <bottom style="thin">
          <color auto="1"/>
        </bottom>
        <vertical/>
        <horizontal/>
      </border>
    </dxf>
    <dxf>
      <font>
        <b val="0"/>
        <i val="0"/>
        <strike val="0"/>
        <condense val="0"/>
        <extend val="0"/>
        <outline val="0"/>
        <shadow val="0"/>
        <u/>
        <vertAlign val="baseline"/>
        <sz val="12"/>
        <color theme="10"/>
        <name val="Arial"/>
        <family val="2"/>
        <scheme val="none"/>
      </font>
      <fill>
        <patternFill patternType="none">
          <fgColor indexed="64"/>
          <bgColor indexed="65"/>
        </patternFill>
      </fill>
      <alignment horizontal="left" vertical="center" textRotation="0" wrapText="1" indent="0" justifyLastLine="0" shrinkToFit="0" readingOrder="0"/>
      <border diagonalUp="0" diagonalDown="0">
        <left style="thin">
          <color theme="1"/>
        </left>
        <right/>
        <top style="thin">
          <color auto="1"/>
        </top>
        <bottom/>
        <vertical/>
        <horizontal/>
      </border>
    </dxf>
    <dxf>
      <border outline="0">
        <right style="medium">
          <color indexed="64"/>
        </right>
        <top style="medium">
          <color indexed="64"/>
        </top>
      </border>
    </dxf>
    <dxf>
      <font>
        <b val="0"/>
        <i val="0"/>
        <strike val="0"/>
        <condense val="0"/>
        <extend val="0"/>
        <outline val="0"/>
        <shadow val="0"/>
        <u val="none"/>
        <vertAlign val="baseline"/>
        <sz val="12"/>
        <color auto="1"/>
        <name val="Arial"/>
        <family val="2"/>
        <scheme val="none"/>
      </font>
      <numFmt numFmtId="34" formatCode="_(&quot;$&quot;* #,##0.00_);_(&quot;$&quot;* \(#,##0.00\);_(&quot;$&quot;* &quot;-&quot;??_);_(@_)"/>
      <alignment horizontal="general" vertical="center" textRotation="0" wrapText="0" indent="0" justifyLastLine="0" shrinkToFit="0" readingOrder="0"/>
      <border diagonalUp="0" diagonalDown="0">
        <left style="medium">
          <color indexed="64"/>
        </left>
        <right/>
        <top style="thin">
          <color indexed="64"/>
        </top>
        <bottom style="thin">
          <color indexed="64"/>
        </bottom>
        <vertical/>
        <horizontal style="thin">
          <color indexed="64"/>
        </horizontal>
      </border>
    </dxf>
    <dxf>
      <font>
        <b val="0"/>
        <i val="0"/>
        <strike val="0"/>
        <condense val="0"/>
        <extend val="0"/>
        <outline val="0"/>
        <shadow val="0"/>
        <u val="none"/>
        <vertAlign val="baseline"/>
        <sz val="12"/>
        <color auto="1"/>
        <name val="Arial"/>
        <family val="2"/>
        <scheme val="none"/>
      </font>
      <numFmt numFmtId="34" formatCode="_(&quot;$&quot;* #,##0.00_);_(&quot;$&quot;* \(#,##0.00\);_(&quot;$&quot;* &quot;-&quot;??_);_(@_)"/>
      <alignment horizontal="general" vertical="center" textRotation="0" wrapText="0" indent="0" justifyLastLine="0" shrinkToFit="0" readingOrder="0"/>
      <border diagonalUp="0" diagonalDown="0">
        <left style="medium">
          <color indexed="64"/>
        </left>
        <right style="medium">
          <color indexed="64"/>
        </right>
        <top style="thin">
          <color auto="1"/>
        </top>
        <bottom style="thin">
          <color auto="1"/>
        </bottom>
        <vertical/>
        <horizontal/>
      </border>
    </dxf>
    <dxf>
      <font>
        <b val="0"/>
        <i val="0"/>
        <strike val="0"/>
        <condense val="0"/>
        <extend val="0"/>
        <outline val="0"/>
        <shadow val="0"/>
        <u val="none"/>
        <vertAlign val="baseline"/>
        <sz val="12"/>
        <color auto="1"/>
        <name val="Arial"/>
        <family val="2"/>
        <scheme val="none"/>
      </font>
      <fill>
        <patternFill patternType="none">
          <fgColor indexed="64"/>
          <bgColor indexed="65"/>
        </patternFill>
      </fill>
      <alignment horizontal="general" vertical="center" textRotation="0" wrapText="0" indent="0" justifyLastLine="0" shrinkToFit="0" readingOrder="0"/>
      <border diagonalUp="0" diagonalDown="0">
        <left style="medium">
          <color indexed="64"/>
        </left>
        <right style="medium">
          <color indexed="64"/>
        </right>
        <top style="thin">
          <color auto="1"/>
        </top>
        <bottom/>
        <vertical/>
        <horizontal/>
      </border>
    </dxf>
    <dxf>
      <font>
        <b val="0"/>
        <i val="0"/>
        <strike val="0"/>
        <condense val="0"/>
        <extend val="0"/>
        <outline val="0"/>
        <shadow val="0"/>
        <u/>
        <vertAlign val="baseline"/>
        <sz val="12"/>
        <color theme="10"/>
        <name val="Arial"/>
        <family val="2"/>
        <scheme val="none"/>
      </font>
      <fill>
        <patternFill patternType="none">
          <fgColor indexed="64"/>
          <bgColor indexed="65"/>
        </patternFill>
      </fill>
      <alignment horizontal="left" vertical="center" textRotation="0" wrapText="1" indent="0" justifyLastLine="0" shrinkToFit="0" readingOrder="0"/>
      <border diagonalUp="0" diagonalDown="0">
        <left style="thin">
          <color theme="1"/>
        </left>
        <right/>
        <top style="thin">
          <color auto="1"/>
        </top>
        <bottom/>
        <vertical/>
        <horizontal/>
      </border>
    </dxf>
    <dxf>
      <border outline="0">
        <left style="medium">
          <color indexed="64"/>
        </left>
        <right style="medium">
          <color indexed="64"/>
        </right>
        <top style="medium">
          <color indexed="64"/>
        </top>
        <bottom style="medium">
          <color indexed="64"/>
        </bottom>
      </border>
    </dxf>
    <dxf>
      <border outline="0">
        <bottom style="medium">
          <color indexed="64"/>
        </bottom>
      </border>
    </dxf>
    <dxf>
      <font>
        <b/>
        <i val="0"/>
        <strike val="0"/>
        <condense val="0"/>
        <extend val="0"/>
        <outline val="0"/>
        <shadow val="0"/>
        <u/>
        <vertAlign val="baseline"/>
        <sz val="12"/>
        <color auto="1"/>
        <name val="Arial"/>
        <family val="2"/>
        <scheme val="none"/>
      </font>
      <fill>
        <patternFill patternType="solid">
          <fgColor indexed="64"/>
          <bgColor theme="4" tint="0.79998168889431442"/>
        </patternFill>
      </fill>
      <alignment horizontal="center" vertical="center" textRotation="0" wrapText="1" indent="0" justifyLastLine="0" shrinkToFit="0" readingOrder="0"/>
      <border diagonalUp="0" diagonalDown="0" outline="0">
        <left style="medium">
          <color indexed="64"/>
        </left>
        <right style="medium">
          <color indexed="64"/>
        </right>
        <top/>
        <bottom/>
      </border>
    </dxf>
    <dxf>
      <font>
        <b val="0"/>
        <i val="0"/>
        <strike val="0"/>
        <condense val="0"/>
        <extend val="0"/>
        <outline val="0"/>
        <shadow val="0"/>
        <u val="none"/>
        <vertAlign val="baseline"/>
        <sz val="12"/>
        <color auto="1"/>
        <name val="Arial"/>
        <family val="2"/>
        <scheme val="none"/>
      </font>
      <numFmt numFmtId="34" formatCode="_(&quot;$&quot;* #,##0.00_);_(&quot;$&quot;* \(#,##0.00\);_(&quot;$&quot;* &quot;-&quot;??_);_(@_)"/>
      <alignment horizontal="general" vertical="center" textRotation="0" wrapText="0" indent="0" justifyLastLine="0" shrinkToFit="0" readingOrder="0"/>
      <border diagonalUp="0" diagonalDown="0">
        <left style="thin">
          <color auto="1"/>
        </left>
        <right/>
        <top/>
        <bottom style="thin">
          <color auto="1"/>
        </bottom>
        <vertical/>
        <horizontal/>
      </border>
    </dxf>
    <dxf>
      <font>
        <b val="0"/>
        <i val="0"/>
        <strike val="0"/>
        <condense val="0"/>
        <extend val="0"/>
        <outline val="0"/>
        <shadow val="0"/>
        <u val="none"/>
        <vertAlign val="baseline"/>
        <sz val="12"/>
        <color auto="1"/>
        <name val="Arial"/>
        <family val="2"/>
        <scheme val="none"/>
      </font>
      <fill>
        <patternFill patternType="none">
          <fgColor indexed="64"/>
          <bgColor indexed="65"/>
        </patternFill>
      </fill>
      <alignment horizontal="center" vertical="center" textRotation="0" wrapText="0" indent="0" justifyLastLine="0" shrinkToFit="0" readingOrder="0"/>
      <border diagonalUp="0" diagonalDown="0">
        <left style="thin">
          <color auto="1"/>
        </left>
        <right style="medium">
          <color indexed="64"/>
        </right>
        <top style="thin">
          <color auto="1"/>
        </top>
        <bottom style="thin">
          <color auto="1"/>
        </bottom>
        <vertical/>
        <horizontal/>
      </border>
    </dxf>
    <dxf>
      <font>
        <b val="0"/>
        <i val="0"/>
        <strike val="0"/>
        <condense val="0"/>
        <extend val="0"/>
        <outline val="0"/>
        <shadow val="0"/>
        <u val="none"/>
        <vertAlign val="baseline"/>
        <sz val="12"/>
        <color theme="1"/>
        <name val="Arial"/>
        <family val="2"/>
        <scheme val="none"/>
      </font>
      <fill>
        <patternFill patternType="none">
          <fgColor indexed="64"/>
          <bgColor indexed="65"/>
        </patternFill>
      </fill>
      <alignment horizontal="right" vertical="center" textRotation="0" wrapText="0" indent="0" justifyLastLine="0" shrinkToFit="0" readingOrder="0"/>
      <border diagonalUp="0" diagonalDown="0">
        <left style="medium">
          <color indexed="64"/>
        </left>
        <right style="medium">
          <color indexed="64"/>
        </right>
        <top style="thin">
          <color auto="1"/>
        </top>
        <bottom style="thin">
          <color auto="1"/>
        </bottom>
        <vertical/>
        <horizontal/>
      </border>
    </dxf>
    <dxf>
      <font>
        <b val="0"/>
        <i val="0"/>
        <strike val="0"/>
        <condense val="0"/>
        <extend val="0"/>
        <outline val="0"/>
        <shadow val="0"/>
        <u/>
        <vertAlign val="baseline"/>
        <sz val="12"/>
        <color theme="10"/>
        <name val="Arial"/>
        <family val="2"/>
        <scheme val="none"/>
      </font>
      <fill>
        <patternFill patternType="none">
          <fgColor indexed="64"/>
          <bgColor indexed="65"/>
        </patternFill>
      </fill>
      <alignment horizontal="left" vertical="center" textRotation="0" wrapText="1" indent="0" justifyLastLine="0" shrinkToFit="0" readingOrder="0"/>
      <border diagonalUp="0" diagonalDown="0">
        <left style="thin">
          <color theme="1"/>
        </left>
        <right/>
        <top style="thin">
          <color auto="1"/>
        </top>
        <bottom/>
        <vertical/>
        <horizontal/>
      </border>
    </dxf>
    <dxf>
      <border outline="0">
        <left style="medium">
          <color indexed="64"/>
        </left>
        <right style="medium">
          <color indexed="64"/>
        </right>
        <top style="medium">
          <color indexed="64"/>
        </top>
        <bottom style="medium">
          <color indexed="64"/>
        </bottom>
      </border>
    </dxf>
    <dxf>
      <font>
        <b/>
        <i val="0"/>
        <strike val="0"/>
        <condense val="0"/>
        <extend val="0"/>
        <outline val="0"/>
        <shadow val="0"/>
        <u/>
        <vertAlign val="baseline"/>
        <sz val="12"/>
        <color auto="1"/>
        <name val="Arial"/>
        <family val="2"/>
        <scheme val="none"/>
      </font>
      <fill>
        <patternFill patternType="solid">
          <fgColor indexed="64"/>
          <bgColor theme="4" tint="0.79998168889431442"/>
        </patternFill>
      </fill>
      <alignment horizontal="center" vertical="center" textRotation="0" wrapText="1" indent="0" justifyLastLine="0" shrinkToFit="0" readingOrder="0"/>
      <border diagonalUp="0" diagonalDown="0" outline="0">
        <left style="medium">
          <color indexed="64"/>
        </left>
        <right style="medium">
          <color indexed="64"/>
        </right>
        <top/>
        <bottom/>
      </border>
    </dxf>
    <dxf>
      <font>
        <b val="0"/>
        <i val="0"/>
        <strike val="0"/>
        <condense val="0"/>
        <extend val="0"/>
        <outline val="0"/>
        <shadow val="0"/>
        <u val="none"/>
        <vertAlign val="baseline"/>
        <sz val="12"/>
        <color auto="1"/>
        <name val="Arial"/>
        <family val="2"/>
        <scheme val="none"/>
      </font>
      <fill>
        <patternFill patternType="none">
          <fgColor indexed="64"/>
          <bgColor auto="1"/>
        </patternFill>
      </fill>
      <alignment horizontal="right" vertical="center" textRotation="0" wrapText="0" indent="0" justifyLastLine="0" shrinkToFit="0" readingOrder="0"/>
      <border diagonalUp="0" diagonalDown="0" outline="0">
        <left style="medium">
          <color indexed="64"/>
        </left>
        <right/>
        <top style="thin">
          <color auto="1"/>
        </top>
        <bottom style="thin">
          <color auto="1"/>
        </bottom>
      </border>
    </dxf>
    <dxf>
      <font>
        <b val="0"/>
        <i val="0"/>
        <strike val="0"/>
        <condense val="0"/>
        <extend val="0"/>
        <outline val="0"/>
        <shadow val="0"/>
        <u/>
        <vertAlign val="baseline"/>
        <sz val="12"/>
        <color theme="10"/>
        <name val="Arial"/>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theme="1"/>
        </left>
        <right/>
        <top style="thin">
          <color auto="1"/>
        </top>
        <bottom/>
      </border>
    </dxf>
    <dxf>
      <border outline="0">
        <right style="medium">
          <color indexed="64"/>
        </right>
        <top style="medium">
          <color indexed="64"/>
        </top>
        <bottom style="medium">
          <color indexed="64"/>
        </bottom>
      </border>
    </dxf>
    <dxf>
      <fill>
        <patternFill patternType="none">
          <fgColor indexed="64"/>
          <bgColor auto="1"/>
        </patternFill>
      </fill>
    </dxf>
    <dxf>
      <border outline="0">
        <bottom style="medium">
          <color indexed="64"/>
        </bottom>
      </border>
    </dxf>
    <dxf>
      <font>
        <b/>
        <i val="0"/>
        <strike val="0"/>
        <condense val="0"/>
        <extend val="0"/>
        <outline val="0"/>
        <shadow val="0"/>
        <u/>
        <vertAlign val="baseline"/>
        <sz val="12"/>
        <color auto="1"/>
        <name val="Arial"/>
        <family val="2"/>
        <scheme val="none"/>
      </font>
      <fill>
        <patternFill patternType="solid">
          <fgColor indexed="64"/>
          <bgColor theme="4" tint="0.79998168889431442"/>
        </patternFill>
      </fill>
      <alignment horizontal="center" vertical="center" textRotation="0" wrapText="1" indent="0" justifyLastLine="0" shrinkToFit="0" readingOrder="0"/>
      <border diagonalUp="0" diagonalDown="0" outline="0">
        <left style="medium">
          <color indexed="64"/>
        </left>
        <right style="medium">
          <color indexed="64"/>
        </right>
        <top/>
        <bottom/>
      </border>
    </dxf>
    <dxf>
      <font>
        <b val="0"/>
        <i val="0"/>
        <strike val="0"/>
        <condense val="0"/>
        <extend val="0"/>
        <outline val="0"/>
        <shadow val="0"/>
        <u val="none"/>
        <vertAlign val="baseline"/>
        <sz val="12"/>
        <color auto="1"/>
        <name val="Arial"/>
        <family val="2"/>
        <scheme val="none"/>
      </font>
      <fill>
        <patternFill patternType="none">
          <fgColor indexed="64"/>
          <bgColor auto="1"/>
        </patternFill>
      </fill>
      <alignment horizontal="right" vertical="center" textRotation="0" wrapText="0" indent="0" justifyLastLine="0" shrinkToFit="0" readingOrder="0"/>
      <border diagonalUp="0" diagonalDown="0" outline="0">
        <left style="medium">
          <color indexed="64"/>
        </left>
        <right/>
        <top style="thin">
          <color auto="1"/>
        </top>
        <bottom style="thin">
          <color auto="1"/>
        </bottom>
      </border>
    </dxf>
    <dxf>
      <font>
        <b val="0"/>
        <i val="0"/>
        <strike val="0"/>
        <condense val="0"/>
        <extend val="0"/>
        <outline val="0"/>
        <shadow val="0"/>
        <u/>
        <vertAlign val="baseline"/>
        <sz val="12"/>
        <color theme="10"/>
        <name val="Arial"/>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theme="1"/>
        </left>
        <right/>
        <top style="thin">
          <color auto="1"/>
        </top>
        <bottom/>
      </border>
    </dxf>
    <dxf>
      <border outline="0">
        <right style="medium">
          <color indexed="64"/>
        </right>
        <top style="medium">
          <color indexed="64"/>
        </top>
        <bottom style="medium">
          <color indexed="64"/>
        </bottom>
      </border>
    </dxf>
    <dxf>
      <fill>
        <patternFill patternType="none">
          <fgColor indexed="64"/>
          <bgColor auto="1"/>
        </patternFill>
      </fill>
    </dxf>
    <dxf>
      <border outline="0">
        <bottom style="medium">
          <color indexed="64"/>
        </bottom>
      </border>
    </dxf>
    <dxf>
      <font>
        <strike val="0"/>
        <outline val="0"/>
        <shadow val="0"/>
        <vertAlign val="baseline"/>
        <sz val="12"/>
        <color auto="1"/>
        <name val="Arial"/>
        <family val="2"/>
        <scheme val="none"/>
      </font>
    </dxf>
    <dxf>
      <fill>
        <patternFill patternType="none">
          <bgColor auto="1"/>
        </patternFill>
      </fill>
    </dxf>
    <dxf>
      <font>
        <b val="0"/>
        <i val="0"/>
        <strike val="0"/>
        <condense val="0"/>
        <extend val="0"/>
        <outline val="0"/>
        <shadow val="0"/>
        <u/>
        <vertAlign val="baseline"/>
        <sz val="12"/>
        <color theme="10"/>
        <name val="Arial"/>
        <family val="2"/>
        <scheme val="none"/>
      </font>
      <fill>
        <patternFill patternType="solid">
          <fgColor theme="0" tint="-0.14999847407452621"/>
          <bgColor theme="0" tint="-0.14999847407452621"/>
        </patternFill>
      </fill>
      <alignment horizontal="left" vertical="center" textRotation="0" wrapText="1" indent="0" justifyLastLine="0" shrinkToFit="0" readingOrder="0"/>
      <border diagonalUp="0" diagonalDown="0">
        <left style="thin">
          <color theme="1"/>
        </left>
        <right/>
        <top style="thin">
          <color auto="1"/>
        </top>
        <bottom/>
        <vertical/>
        <horizontal/>
      </border>
    </dxf>
    <dxf>
      <border outline="0">
        <right style="medium">
          <color indexed="64"/>
        </right>
        <top style="medium">
          <color indexed="64"/>
        </top>
        <bottom style="medium">
          <color indexed="64"/>
        </bottom>
      </border>
    </dxf>
    <dxf>
      <fill>
        <patternFill patternType="none">
          <bgColor auto="1"/>
        </patternFill>
      </fill>
    </dxf>
    <dxf>
      <border outline="0">
        <bottom style="medium">
          <color indexed="64"/>
        </bottom>
      </border>
    </dxf>
    <dxf>
      <font>
        <b/>
        <i val="0"/>
        <strike val="0"/>
        <condense val="0"/>
        <extend val="0"/>
        <outline val="0"/>
        <shadow val="0"/>
        <u/>
        <vertAlign val="baseline"/>
        <sz val="12"/>
        <color auto="1"/>
        <name val="Arial"/>
        <family val="2"/>
        <scheme val="none"/>
      </font>
      <fill>
        <patternFill patternType="solid">
          <fgColor indexed="64"/>
          <bgColor theme="4" tint="0.79998168889431442"/>
        </patternFill>
      </fill>
      <alignment horizontal="center" vertical="center" textRotation="0" wrapText="1" indent="0" justifyLastLine="0" shrinkToFit="0" readingOrder="0"/>
      <border diagonalUp="0" diagonalDown="0" outline="0">
        <left style="medium">
          <color indexed="64"/>
        </left>
        <right style="medium">
          <color indexed="64"/>
        </right>
        <top/>
        <bottom/>
      </border>
    </dxf>
    <dxf>
      <font>
        <b val="0"/>
        <i val="0"/>
        <strike val="0"/>
        <condense val="0"/>
        <extend val="0"/>
        <outline val="0"/>
        <shadow val="0"/>
        <u val="none"/>
        <vertAlign val="baseline"/>
        <sz val="12"/>
        <color auto="1"/>
        <name val="Arial"/>
        <family val="2"/>
        <scheme val="none"/>
      </font>
      <fill>
        <patternFill patternType="none">
          <fgColor indexed="64"/>
          <bgColor auto="1"/>
        </patternFill>
      </fill>
      <alignment horizontal="right" vertical="center" textRotation="0" wrapText="0" indent="0" justifyLastLine="0" shrinkToFit="0" readingOrder="0"/>
      <border diagonalUp="0" diagonalDown="0">
        <left/>
        <right style="medium">
          <color indexed="64"/>
        </right>
        <top style="thin">
          <color auto="1"/>
        </top>
        <bottom style="thin">
          <color auto="1"/>
        </bottom>
      </border>
    </dxf>
    <dxf>
      <font>
        <b val="0"/>
        <i val="0"/>
        <strike val="0"/>
        <condense val="0"/>
        <extend val="0"/>
        <outline val="0"/>
        <shadow val="0"/>
        <u/>
        <vertAlign val="baseline"/>
        <sz val="12"/>
        <color theme="10"/>
        <name val="Arial"/>
        <family val="2"/>
        <scheme val="none"/>
      </font>
      <fill>
        <patternFill patternType="none">
          <fgColor theme="0" tint="-0.14999847407452621"/>
          <bgColor auto="1"/>
        </patternFill>
      </fill>
      <alignment horizontal="left" vertical="center" textRotation="0" wrapText="1" indent="0" justifyLastLine="0" shrinkToFit="0" readingOrder="0"/>
      <border diagonalUp="0" diagonalDown="0">
        <left style="medium">
          <color auto="1"/>
        </left>
        <right style="medium">
          <color indexed="64"/>
        </right>
        <top style="thin">
          <color auto="1"/>
        </top>
        <bottom/>
        <vertical/>
      </border>
    </dxf>
    <dxf>
      <border outline="0">
        <top style="medium">
          <color indexed="64"/>
        </top>
        <bottom style="medium">
          <color indexed="64"/>
        </bottom>
      </border>
    </dxf>
    <dxf>
      <fill>
        <patternFill patternType="none">
          <bgColor auto="1"/>
        </patternFill>
      </fill>
    </dxf>
    <dxf>
      <border outline="0">
        <bottom style="medium">
          <color indexed="64"/>
        </bottom>
      </border>
    </dxf>
    <dxf>
      <font>
        <b/>
        <i val="0"/>
        <strike val="0"/>
        <condense val="0"/>
        <extend val="0"/>
        <outline val="0"/>
        <shadow val="0"/>
        <u/>
        <vertAlign val="baseline"/>
        <sz val="12"/>
        <color auto="1"/>
        <name val="Arial"/>
        <family val="2"/>
        <scheme val="none"/>
      </font>
      <fill>
        <patternFill patternType="solid">
          <fgColor indexed="64"/>
          <bgColor theme="4" tint="0.79998168889431442"/>
        </patternFill>
      </fill>
      <alignment horizontal="center" vertical="center" textRotation="0" wrapText="1" indent="0" justifyLastLine="0" shrinkToFit="0" readingOrder="0"/>
      <border diagonalUp="0" diagonalDown="0" outline="0">
        <left style="medium">
          <color indexed="64"/>
        </left>
        <right style="medium">
          <color indexed="64"/>
        </right>
        <top/>
        <bottom/>
      </border>
    </dxf>
    <dxf>
      <font>
        <b val="0"/>
        <i val="0"/>
        <strike val="0"/>
        <condense val="0"/>
        <extend val="0"/>
        <outline val="0"/>
        <shadow val="0"/>
        <u val="none"/>
        <vertAlign val="baseline"/>
        <sz val="12"/>
        <color auto="1"/>
        <name val="Arial"/>
        <family val="2"/>
        <scheme val="none"/>
      </font>
      <fill>
        <patternFill patternType="none">
          <fgColor indexed="64"/>
          <bgColor auto="1"/>
        </patternFill>
      </fill>
      <alignment horizontal="right" vertical="center" textRotation="0" wrapText="0" indent="0" justifyLastLine="0" shrinkToFit="0" readingOrder="0"/>
      <border diagonalUp="0" diagonalDown="0" outline="0">
        <left style="medium">
          <color indexed="64"/>
        </left>
        <right/>
        <top style="thin">
          <color auto="1"/>
        </top>
        <bottom style="thin">
          <color auto="1"/>
        </bottom>
      </border>
    </dxf>
    <dxf>
      <font>
        <b val="0"/>
        <i val="0"/>
        <strike val="0"/>
        <condense val="0"/>
        <extend val="0"/>
        <outline val="0"/>
        <shadow val="0"/>
        <u/>
        <vertAlign val="baseline"/>
        <sz val="12"/>
        <color theme="10"/>
        <name val="Arial"/>
        <family val="2"/>
        <scheme val="none"/>
      </font>
      <fill>
        <patternFill patternType="none">
          <fgColor theme="0" tint="-0.14999847407452621"/>
          <bgColor auto="1"/>
        </patternFill>
      </fill>
      <alignment horizontal="left" vertical="center" textRotation="0" wrapText="1" indent="0" justifyLastLine="0" shrinkToFit="0" readingOrder="0"/>
      <border diagonalUp="0" diagonalDown="0" outline="0">
        <left style="thin">
          <color theme="1"/>
        </left>
        <right/>
        <top style="thin">
          <color auto="1"/>
        </top>
        <bottom/>
      </border>
    </dxf>
    <dxf>
      <border outline="0">
        <right style="medium">
          <color indexed="64"/>
        </right>
        <top style="medium">
          <color indexed="64"/>
        </top>
        <bottom style="medium">
          <color indexed="64"/>
        </bottom>
      </border>
    </dxf>
    <dxf>
      <fill>
        <patternFill patternType="none">
          <bgColor auto="1"/>
        </patternFill>
      </fill>
    </dxf>
    <dxf>
      <border outline="0">
        <bottom style="medium">
          <color indexed="64"/>
        </bottom>
      </border>
    </dxf>
    <dxf>
      <font>
        <b/>
        <i val="0"/>
        <strike val="0"/>
        <condense val="0"/>
        <extend val="0"/>
        <outline val="0"/>
        <shadow val="0"/>
        <u/>
        <vertAlign val="baseline"/>
        <sz val="12"/>
        <color auto="1"/>
        <name val="Arial"/>
        <family val="2"/>
        <scheme val="none"/>
      </font>
      <fill>
        <patternFill patternType="solid">
          <fgColor indexed="64"/>
          <bgColor theme="4" tint="0.79998168889431442"/>
        </patternFill>
      </fill>
      <alignment horizontal="center" vertical="center" textRotation="0" wrapText="1" indent="0" justifyLastLine="0" shrinkToFit="0" readingOrder="0"/>
      <border diagonalUp="0" diagonalDown="0" outline="0">
        <left style="medium">
          <color indexed="64"/>
        </left>
        <right style="medium">
          <color indexed="64"/>
        </right>
        <top/>
        <bottom/>
      </border>
    </dxf>
    <dxf>
      <font>
        <b val="0"/>
        <i val="0"/>
        <strike val="0"/>
        <condense val="0"/>
        <extend val="0"/>
        <outline val="0"/>
        <shadow val="0"/>
        <u val="none"/>
        <vertAlign val="baseline"/>
        <sz val="12"/>
        <color auto="1"/>
        <name val="Arial"/>
        <family val="2"/>
        <scheme val="none"/>
      </font>
      <fill>
        <patternFill patternType="none">
          <fgColor indexed="64"/>
          <bgColor indexed="65"/>
        </patternFill>
      </fill>
      <alignment horizontal="right" vertical="center" textRotation="0" wrapText="0" indent="0" justifyLastLine="0" shrinkToFit="0" readingOrder="0"/>
      <border diagonalUp="0" diagonalDown="0">
        <left style="medium">
          <color indexed="64"/>
        </left>
        <right/>
        <top style="thin">
          <color auto="1"/>
        </top>
        <bottom style="thin">
          <color auto="1"/>
        </bottom>
        <vertical/>
        <horizontal/>
      </border>
    </dxf>
    <dxf>
      <font>
        <b val="0"/>
        <i val="0"/>
        <strike val="0"/>
        <condense val="0"/>
        <extend val="0"/>
        <outline val="0"/>
        <shadow val="0"/>
        <u/>
        <vertAlign val="baseline"/>
        <sz val="12"/>
        <color theme="10"/>
        <name val="Arial"/>
        <family val="2"/>
        <scheme val="none"/>
      </font>
      <fill>
        <patternFill patternType="solid">
          <fgColor theme="0" tint="-0.14999847407452621"/>
          <bgColor theme="0" tint="-0.14999847407452621"/>
        </patternFill>
      </fill>
      <alignment horizontal="left" vertical="center" textRotation="0" wrapText="1" indent="0" justifyLastLine="0" shrinkToFit="0" readingOrder="0"/>
      <border diagonalUp="0" diagonalDown="0">
        <left style="thin">
          <color theme="1"/>
        </left>
        <right/>
        <top style="thin">
          <color auto="1"/>
        </top>
        <bottom/>
        <vertical/>
        <horizontal/>
      </border>
    </dxf>
    <dxf>
      <border outline="0">
        <right style="medium">
          <color indexed="64"/>
        </right>
        <top style="medium">
          <color indexed="64"/>
        </top>
        <bottom style="medium">
          <color indexed="64"/>
        </bottom>
      </border>
    </dxf>
    <dxf>
      <border outline="0">
        <bottom style="medium">
          <color indexed="64"/>
        </bottom>
      </border>
    </dxf>
    <dxf>
      <font>
        <b/>
        <i val="0"/>
        <strike val="0"/>
        <condense val="0"/>
        <extend val="0"/>
        <outline val="0"/>
        <shadow val="0"/>
        <u/>
        <vertAlign val="baseline"/>
        <sz val="12"/>
        <color auto="1"/>
        <name val="Arial"/>
        <family val="2"/>
        <scheme val="none"/>
      </font>
      <fill>
        <patternFill patternType="solid">
          <fgColor indexed="64"/>
          <bgColor theme="4" tint="0.79998168889431442"/>
        </patternFill>
      </fill>
      <alignment horizontal="center" vertical="center" textRotation="0" wrapText="1" indent="0" justifyLastLine="0" shrinkToFit="0" readingOrder="0"/>
      <border diagonalUp="0" diagonalDown="0" outline="0">
        <left style="medium">
          <color indexed="64"/>
        </left>
        <right style="medium">
          <color indexed="64"/>
        </right>
        <top/>
        <bottom/>
      </border>
    </dxf>
    <dxf>
      <font>
        <b val="0"/>
        <i val="0"/>
        <strike val="0"/>
        <condense val="0"/>
        <extend val="0"/>
        <outline val="0"/>
        <shadow val="0"/>
        <u val="none"/>
        <vertAlign val="baseline"/>
        <sz val="12"/>
        <color auto="1"/>
        <name val="Arial"/>
        <family val="2"/>
        <scheme val="none"/>
      </font>
      <fill>
        <patternFill patternType="none">
          <fgColor indexed="64"/>
          <bgColor indexed="65"/>
        </patternFill>
      </fill>
      <alignment horizontal="right" vertical="center" textRotation="0" wrapText="0" indent="0" justifyLastLine="0" shrinkToFit="0" readingOrder="0"/>
      <border diagonalUp="0" diagonalDown="0">
        <left style="thin">
          <color auto="1"/>
        </left>
        <right/>
        <top style="thin">
          <color auto="1"/>
        </top>
        <bottom style="thin">
          <color auto="1"/>
        </bottom>
        <vertical style="thin">
          <color auto="1"/>
        </vertical>
        <horizontal/>
      </border>
    </dxf>
    <dxf>
      <font>
        <b val="0"/>
        <i val="0"/>
        <strike val="0"/>
        <condense val="0"/>
        <extend val="0"/>
        <outline val="0"/>
        <shadow val="0"/>
        <u/>
        <vertAlign val="baseline"/>
        <sz val="12"/>
        <color theme="10"/>
        <name val="Arial"/>
        <family val="2"/>
        <scheme val="none"/>
      </font>
      <fill>
        <patternFill patternType="none">
          <fgColor indexed="64"/>
          <bgColor auto="1"/>
        </patternFill>
      </fill>
      <alignment horizontal="left" vertical="center" textRotation="0" wrapText="1" indent="0" justifyLastLine="0" shrinkToFit="0" readingOrder="0"/>
      <border diagonalUp="0" diagonalDown="0">
        <left style="thin">
          <color auto="1"/>
        </left>
        <right style="thin">
          <color auto="1"/>
        </right>
        <top style="thin">
          <color auto="1"/>
        </top>
        <bottom/>
        <vertical style="thin">
          <color auto="1"/>
        </vertical>
      </border>
    </dxf>
    <dxf>
      <border outline="0">
        <right style="medium">
          <color indexed="64"/>
        </right>
        <top style="medium">
          <color indexed="64"/>
        </top>
        <bottom style="medium">
          <color indexed="64"/>
        </bottom>
      </border>
    </dxf>
    <dxf>
      <border outline="0">
        <bottom style="medium">
          <color indexed="64"/>
        </bottom>
      </border>
    </dxf>
    <dxf>
      <font>
        <b/>
        <i val="0"/>
        <strike val="0"/>
        <condense val="0"/>
        <extend val="0"/>
        <outline val="0"/>
        <shadow val="0"/>
        <u/>
        <vertAlign val="baseline"/>
        <sz val="12"/>
        <color theme="1"/>
        <name val="Arial"/>
        <family val="2"/>
        <scheme val="none"/>
      </font>
      <fill>
        <patternFill patternType="solid">
          <fgColor indexed="64"/>
          <bgColor theme="4" tint="0.79998168889431442"/>
        </patternFill>
      </fill>
      <alignment horizontal="center" vertical="center" textRotation="0" wrapText="1" indent="0" justifyLastLine="0" shrinkToFit="0" readingOrder="0"/>
    </dxf>
    <dxf>
      <font>
        <b val="0"/>
        <i val="0"/>
        <strike val="0"/>
        <condense val="0"/>
        <extend val="0"/>
        <outline val="0"/>
        <shadow val="0"/>
        <u val="none"/>
        <vertAlign val="baseline"/>
        <sz val="12"/>
        <color theme="1"/>
        <name val="Arial"/>
        <family val="2"/>
        <scheme val="none"/>
      </font>
      <numFmt numFmtId="34" formatCode="_(&quot;$&quot;* #,##0.00_);_(&quot;$&quot;* \(#,##0.00\);_(&quot;$&quot;* &quot;-&quot;??_);_(@_)"/>
      <alignment horizontal="general" vertical="center" textRotation="0" wrapText="0" indent="0" justifyLastLine="0" shrinkToFit="0" readingOrder="0"/>
      <border diagonalUp="0" diagonalDown="0">
        <left style="medium">
          <color indexed="64"/>
        </left>
        <right style="medium">
          <color indexed="64"/>
        </right>
        <top style="thin">
          <color auto="1"/>
        </top>
        <bottom/>
        <vertical/>
        <horizontal/>
      </border>
    </dxf>
    <dxf>
      <numFmt numFmtId="34" formatCode="_(&quot;$&quot;* #,##0.00_);_(&quot;$&quot;* \(#,##0.00\);_(&quot;$&quot;* &quot;-&quot;??_);_(@_)"/>
    </dxf>
    <dxf>
      <font>
        <b val="0"/>
        <i val="0"/>
        <strike val="0"/>
        <condense val="0"/>
        <extend val="0"/>
        <outline val="0"/>
        <shadow val="0"/>
        <u/>
        <vertAlign val="baseline"/>
        <sz val="12"/>
        <color theme="10"/>
        <name val="Arial"/>
        <family val="2"/>
        <scheme val="none"/>
      </font>
      <numFmt numFmtId="34" formatCode="_(&quot;$&quot;* #,##0.00_);_(&quot;$&quot;* \(#,##0.00\);_(&quot;$&quot;* &quot;-&quot;??_);_(@_)"/>
      <alignment horizontal="center" vertical="center" textRotation="0" wrapText="0" indent="0" justifyLastLine="0" shrinkToFit="0" readingOrder="0"/>
      <border diagonalUp="0" diagonalDown="0">
        <left style="medium">
          <color indexed="64"/>
        </left>
        <right/>
        <top style="thin">
          <color auto="1"/>
        </top>
        <bottom/>
        <vertical/>
        <horizontal/>
      </border>
    </dxf>
    <dxf>
      <font>
        <b val="0"/>
        <i val="0"/>
        <strike val="0"/>
        <condense val="0"/>
        <extend val="0"/>
        <outline val="0"/>
        <shadow val="0"/>
        <u val="none"/>
        <vertAlign val="baseline"/>
        <sz val="12"/>
        <color auto="1"/>
        <name val="Arial"/>
        <family val="2"/>
        <scheme val="none"/>
      </font>
      <alignment horizontal="right" vertical="center" textRotation="0" wrapText="0" indent="0" justifyLastLine="0" shrinkToFit="0" readingOrder="0"/>
      <border diagonalUp="0" diagonalDown="0">
        <left style="medium">
          <color indexed="64"/>
        </left>
        <right/>
        <top style="thin">
          <color auto="1"/>
        </top>
        <bottom/>
        <vertical/>
        <horizontal/>
      </border>
    </dxf>
    <dxf>
      <font>
        <b val="0"/>
        <i val="0"/>
        <strike val="0"/>
        <condense val="0"/>
        <extend val="0"/>
        <outline val="0"/>
        <shadow val="0"/>
        <u val="none"/>
        <vertAlign val="baseline"/>
        <sz val="12"/>
        <color auto="1"/>
        <name val="Arial"/>
        <family val="2"/>
        <scheme val="none"/>
      </font>
      <alignment horizontal="right" vertical="center" textRotation="0" wrapText="0" indent="0" justifyLastLine="0" shrinkToFit="0" readingOrder="0"/>
      <border diagonalUp="0" diagonalDown="0">
        <left style="medium">
          <color indexed="64"/>
        </left>
        <right/>
        <top style="thin">
          <color auto="1"/>
        </top>
        <bottom/>
        <vertical/>
        <horizontal/>
      </border>
    </dxf>
    <dxf>
      <font>
        <b val="0"/>
        <i val="0"/>
        <strike val="0"/>
        <condense val="0"/>
        <extend val="0"/>
        <outline val="0"/>
        <shadow val="0"/>
        <u/>
        <vertAlign val="baseline"/>
        <sz val="12"/>
        <color theme="10"/>
        <name val="Arial"/>
        <family val="2"/>
        <scheme val="none"/>
      </font>
      <alignment horizontal="center" vertical="center" textRotation="0" wrapText="0" indent="0" justifyLastLine="0" shrinkToFit="0" readingOrder="0"/>
      <border diagonalUp="0" diagonalDown="0">
        <left style="medium">
          <color indexed="64"/>
        </left>
        <right/>
        <top style="thin">
          <color auto="1"/>
        </top>
        <bottom/>
        <vertical/>
        <horizontal/>
      </border>
    </dxf>
    <dxf>
      <font>
        <b val="0"/>
        <i val="0"/>
        <strike val="0"/>
        <condense val="0"/>
        <extend val="0"/>
        <outline val="0"/>
        <shadow val="0"/>
        <u/>
        <vertAlign val="baseline"/>
        <sz val="12"/>
        <color theme="10"/>
        <name val="Arial"/>
        <family val="2"/>
        <scheme val="none"/>
      </font>
      <alignment horizontal="center" vertical="center" textRotation="0" wrapText="0" indent="0" justifyLastLine="0" shrinkToFit="0" readingOrder="0"/>
      <border diagonalUp="0" diagonalDown="0" outline="0">
        <left style="medium">
          <color indexed="64"/>
        </left>
        <right/>
        <top style="thin">
          <color auto="1"/>
        </top>
        <bottom/>
      </border>
    </dxf>
    <dxf>
      <font>
        <b val="0"/>
        <i val="0"/>
        <strike val="0"/>
        <condense val="0"/>
        <extend val="0"/>
        <outline val="0"/>
        <shadow val="0"/>
        <u/>
        <vertAlign val="baseline"/>
        <sz val="12"/>
        <color theme="10"/>
        <name val="Arial"/>
        <family val="2"/>
        <scheme val="none"/>
      </font>
      <alignment horizontal="left" vertical="center" textRotation="0" wrapText="1" indent="0" justifyLastLine="0" shrinkToFit="0" readingOrder="0"/>
      <border diagonalUp="0" diagonalDown="0" outline="0">
        <left style="thin">
          <color theme="1"/>
        </left>
        <right style="medium">
          <color indexed="64"/>
        </right>
        <top style="thin">
          <color auto="1"/>
        </top>
        <bottom/>
      </border>
    </dxf>
    <dxf>
      <border outline="0">
        <top style="medium">
          <color indexed="64"/>
        </top>
        <bottom style="medium">
          <color indexed="64"/>
        </bottom>
      </border>
    </dxf>
    <dxf>
      <font>
        <b/>
        <i val="0"/>
        <strike val="0"/>
        <condense val="0"/>
        <extend val="0"/>
        <outline val="0"/>
        <shadow val="0"/>
        <u/>
        <vertAlign val="baseline"/>
        <sz val="12"/>
        <color auto="1"/>
        <name val="Arial"/>
        <family val="2"/>
        <scheme val="none"/>
      </font>
      <alignment horizontal="center" vertical="center" textRotation="0" wrapText="1" indent="0" justifyLastLine="0" shrinkToFit="0" readingOrder="0"/>
      <border diagonalUp="0" diagonalDown="0" outline="0">
        <left style="medium">
          <color indexed="64"/>
        </left>
        <right style="medium">
          <color indexed="64"/>
        </right>
        <top/>
        <bottom/>
      </border>
    </dxf>
    <dxf>
      <font>
        <b val="0"/>
        <i val="0"/>
        <strike val="0"/>
        <condense val="0"/>
        <extend val="0"/>
        <outline val="0"/>
        <shadow val="0"/>
        <u val="none"/>
        <vertAlign val="baseline"/>
        <sz val="12"/>
        <color auto="1"/>
        <name val="Arial"/>
        <family val="2"/>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ertAlign val="baseline"/>
        <sz val="12"/>
        <color theme="10"/>
        <name val="Arial"/>
        <family val="2"/>
        <scheme val="none"/>
      </font>
      <fill>
        <patternFill patternType="none">
          <fgColor indexed="64"/>
          <bgColor indexed="65"/>
        </patternFill>
      </fill>
      <alignment horizontal="left" vertical="center" textRotation="0" wrapText="1" indent="0" justifyLastLine="0" shrinkToFit="0" readingOrder="0"/>
      <border diagonalUp="0" diagonalDown="0">
        <left/>
        <right style="medium">
          <color indexed="64"/>
        </right>
        <top style="thin">
          <color auto="1"/>
        </top>
        <bottom style="thin">
          <color auto="1"/>
        </bottom>
        <vertical/>
        <horizontal/>
      </border>
    </dxf>
    <dxf>
      <border outline="0">
        <right style="medium">
          <color indexed="64"/>
        </right>
        <top style="medium">
          <color indexed="64"/>
        </top>
        <bottom style="medium">
          <color indexed="64"/>
        </bottom>
      </border>
    </dxf>
    <dxf>
      <font>
        <strike val="0"/>
        <outline val="0"/>
        <shadow val="0"/>
        <u/>
        <vertAlign val="baseline"/>
        <sz val="14"/>
        <color auto="1"/>
        <name val="Arial"/>
        <family val="2"/>
        <scheme val="none"/>
      </font>
    </dxf>
    <dxf>
      <font>
        <b val="0"/>
        <i val="0"/>
        <strike val="0"/>
        <condense val="0"/>
        <extend val="0"/>
        <outline val="0"/>
        <shadow val="0"/>
        <u val="none"/>
        <vertAlign val="baseline"/>
        <sz val="12"/>
        <color auto="1"/>
        <name val="Arial"/>
        <family val="2"/>
        <scheme val="none"/>
      </font>
      <numFmt numFmtId="34" formatCode="_(&quot;$&quot;* #,##0.00_);_(&quot;$&quot;* \(#,##0.00\);_(&quot;$&quot;* &quot;-&quot;??_);_(@_)"/>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ertAlign val="baseline"/>
        <sz val="12"/>
        <color theme="10"/>
        <name val="Arial"/>
        <family val="2"/>
        <scheme val="none"/>
      </font>
      <fill>
        <patternFill patternType="none">
          <fgColor indexed="64"/>
          <bgColor indexed="65"/>
        </patternFill>
      </fill>
      <alignment horizontal="left" vertical="center" textRotation="0" wrapText="1" indent="0" justifyLastLine="0" shrinkToFit="0" readingOrder="0"/>
      <border diagonalUp="0" diagonalDown="0">
        <left/>
        <right style="medium">
          <color indexed="64"/>
        </right>
        <top style="thin">
          <color auto="1"/>
        </top>
        <bottom/>
        <vertical/>
        <horizontal/>
      </border>
    </dxf>
    <dxf>
      <border outline="0">
        <right style="medium">
          <color indexed="64"/>
        </right>
        <top style="medium">
          <color indexed="64"/>
        </top>
        <bottom style="medium">
          <color indexed="64"/>
        </bottom>
      </border>
    </dxf>
    <dxf>
      <font>
        <strike val="0"/>
        <outline val="0"/>
        <shadow val="0"/>
        <u/>
        <vertAlign val="baseline"/>
        <sz val="14"/>
        <color auto="1"/>
        <name val="Arial"/>
        <family val="2"/>
        <scheme val="none"/>
      </font>
    </dxf>
    <dxf>
      <font>
        <b val="0"/>
        <i val="0"/>
        <strike val="0"/>
        <condense val="0"/>
        <extend val="0"/>
        <outline val="0"/>
        <shadow val="0"/>
        <u val="none"/>
        <vertAlign val="baseline"/>
        <sz val="12"/>
        <color auto="1"/>
        <name val="Arial"/>
        <family val="2"/>
        <scheme val="none"/>
      </font>
      <numFmt numFmtId="34" formatCode="_(&quot;$&quot;* #,##0.00_);_(&quot;$&quot;* \(#,##0.00\);_(&quot;$&quot;* &quot;-&quot;??_);_(@_)"/>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ertAlign val="baseline"/>
        <sz val="12"/>
        <color theme="10"/>
        <name val="Arial"/>
        <family val="2"/>
        <scheme val="none"/>
      </font>
      <fill>
        <patternFill patternType="none">
          <fgColor indexed="64"/>
          <bgColor indexed="65"/>
        </patternFill>
      </fill>
      <alignment horizontal="left" vertical="center" textRotation="0" wrapText="1" indent="0" justifyLastLine="0" shrinkToFit="0" readingOrder="0"/>
      <border diagonalUp="0" diagonalDown="0">
        <left/>
        <right style="medium">
          <color indexed="64"/>
        </right>
        <top style="thin">
          <color auto="1"/>
        </top>
        <bottom style="thin">
          <color auto="1"/>
        </bottom>
        <vertical/>
        <horizontal/>
      </border>
    </dxf>
    <dxf>
      <border outline="0">
        <right style="medium">
          <color indexed="64"/>
        </right>
        <top style="medium">
          <color indexed="64"/>
        </top>
        <bottom style="medium">
          <color indexed="64"/>
        </bottom>
      </border>
    </dxf>
    <dxf>
      <font>
        <strike val="0"/>
        <outline val="0"/>
        <shadow val="0"/>
        <u/>
        <vertAlign val="baseline"/>
        <sz val="14"/>
        <color auto="1"/>
        <name val="Arial"/>
        <family val="2"/>
        <scheme val="none"/>
      </font>
    </dxf>
  </dxfs>
  <tableStyles count="0" defaultTableStyle="TableStyleMedium2" defaultPivotStyle="PivotStyleLight16"/>
  <colors>
    <mruColors>
      <color rgb="FFFF99FF"/>
      <color rgb="FF08E8E3"/>
      <color rgb="FFFFFFC9"/>
      <color rgb="FFFFFF66"/>
      <color rgb="FFC8C300"/>
      <color rgb="FFE7E200"/>
      <color rgb="FFFFCC00"/>
      <color rgb="FF864393"/>
      <color rgb="FFBF93FF"/>
      <color rgb="FF24FC2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6.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spPr>
            <a:solidFill>
              <a:schemeClr val="accent1">
                <a:lumMod val="75000"/>
              </a:schemeClr>
            </a:solidFill>
            <a:ln w="9525" cap="flat" cmpd="sng" algn="ctr">
              <a:solidFill>
                <a:schemeClr val="lt1">
                  <a:alpha val="50000"/>
                </a:schemeClr>
              </a:solidFill>
              <a:round/>
            </a:ln>
            <a:effectLst/>
          </c:spPr>
          <c:invertIfNegative val="0"/>
          <c:dPt>
            <c:idx val="4"/>
            <c:invertIfNegative val="0"/>
            <c:bubble3D val="0"/>
            <c:extLst>
              <c:ext xmlns:c16="http://schemas.microsoft.com/office/drawing/2014/chart" uri="{C3380CC4-5D6E-409C-BE32-E72D297353CC}">
                <c16:uniqueId val="{00000001-F317-4C4E-BE28-982F588D99E4}"/>
              </c:ext>
            </c:extLst>
          </c:dPt>
          <c:dPt>
            <c:idx val="5"/>
            <c:invertIfNegative val="0"/>
            <c:bubble3D val="0"/>
            <c:extLst>
              <c:ext xmlns:c16="http://schemas.microsoft.com/office/drawing/2014/chart" uri="{C3380CC4-5D6E-409C-BE32-E72D297353CC}">
                <c16:uniqueId val="{00000001-12D1-4A40-9C56-2C692DA21A62}"/>
              </c:ext>
            </c:extLst>
          </c:dPt>
          <c:dPt>
            <c:idx val="8"/>
            <c:invertIfNegative val="0"/>
            <c:bubble3D val="0"/>
            <c:spPr>
              <a:solidFill>
                <a:schemeClr val="accent1">
                  <a:lumMod val="75000"/>
                </a:schemeClr>
              </a:solidFill>
              <a:ln w="9525" cap="flat" cmpd="sng" algn="ctr">
                <a:solidFill>
                  <a:schemeClr val="lt1">
                    <a:alpha val="50000"/>
                  </a:schemeClr>
                </a:solidFill>
                <a:round/>
              </a:ln>
              <a:effectLst/>
            </c:spPr>
            <c:extLst>
              <c:ext xmlns:c16="http://schemas.microsoft.com/office/drawing/2014/chart" uri="{C3380CC4-5D6E-409C-BE32-E72D297353CC}">
                <c16:uniqueId val="{00000003-12D1-4A40-9C56-2C692DA21A62}"/>
              </c:ext>
            </c:extLst>
          </c:dPt>
          <c:dPt>
            <c:idx val="9"/>
            <c:invertIfNegative val="0"/>
            <c:bubble3D val="0"/>
            <c:extLst>
              <c:ext xmlns:c16="http://schemas.microsoft.com/office/drawing/2014/chart" uri="{C3380CC4-5D6E-409C-BE32-E72D297353CC}">
                <c16:uniqueId val="{00000007-B530-4B64-B3EE-330EE760010F}"/>
              </c:ext>
            </c:extLst>
          </c:dPt>
          <c:dPt>
            <c:idx val="10"/>
            <c:invertIfNegative val="0"/>
            <c:bubble3D val="0"/>
            <c:spPr>
              <a:solidFill>
                <a:schemeClr val="accent1">
                  <a:lumMod val="75000"/>
                </a:schemeClr>
              </a:solidFill>
              <a:ln w="9525" cap="flat" cmpd="sng" algn="ctr">
                <a:solidFill>
                  <a:schemeClr val="lt1">
                    <a:alpha val="50000"/>
                  </a:schemeClr>
                </a:solidFill>
                <a:round/>
              </a:ln>
              <a:effectLst/>
            </c:spPr>
            <c:extLst>
              <c:ext xmlns:c16="http://schemas.microsoft.com/office/drawing/2014/chart" uri="{C3380CC4-5D6E-409C-BE32-E72D297353CC}">
                <c16:uniqueId val="{00000008-923B-49CA-BB6C-E89E87E9FE4F}"/>
              </c:ext>
            </c:extLst>
          </c:dPt>
          <c:dPt>
            <c:idx val="11"/>
            <c:invertIfNegative val="0"/>
            <c:bubble3D val="0"/>
            <c:spPr>
              <a:solidFill>
                <a:schemeClr val="accent1">
                  <a:lumMod val="75000"/>
                </a:schemeClr>
              </a:solidFill>
              <a:ln w="9525" cap="flat" cmpd="sng" algn="ctr">
                <a:solidFill>
                  <a:schemeClr val="lt1">
                    <a:alpha val="50000"/>
                  </a:schemeClr>
                </a:solidFill>
                <a:round/>
              </a:ln>
              <a:effectLst/>
            </c:spPr>
            <c:extLst>
              <c:ext xmlns:c16="http://schemas.microsoft.com/office/drawing/2014/chart" uri="{C3380CC4-5D6E-409C-BE32-E72D297353CC}">
                <c16:uniqueId val="{00000007-428E-4B90-AA74-2871A8E0CD9A}"/>
              </c:ext>
            </c:extLst>
          </c:dPt>
          <c:dPt>
            <c:idx val="12"/>
            <c:invertIfNegative val="0"/>
            <c:bubble3D val="0"/>
            <c:spPr>
              <a:solidFill>
                <a:schemeClr val="accent1">
                  <a:lumMod val="75000"/>
                </a:schemeClr>
              </a:solidFill>
              <a:ln w="9525" cap="flat" cmpd="sng" algn="ctr">
                <a:solidFill>
                  <a:schemeClr val="lt1">
                    <a:alpha val="50000"/>
                  </a:schemeClr>
                </a:solidFill>
                <a:round/>
              </a:ln>
              <a:effectLst/>
            </c:spPr>
            <c:extLst>
              <c:ext xmlns:c16="http://schemas.microsoft.com/office/drawing/2014/chart" uri="{C3380CC4-5D6E-409C-BE32-E72D297353CC}">
                <c16:uniqueId val="{00000002-2CC9-48A5-807D-001ADEE265D3}"/>
              </c:ext>
            </c:extLst>
          </c:dPt>
          <c:dPt>
            <c:idx val="13"/>
            <c:invertIfNegative val="0"/>
            <c:bubble3D val="0"/>
            <c:spPr>
              <a:solidFill>
                <a:schemeClr val="accent6">
                  <a:lumMod val="40000"/>
                  <a:lumOff val="60000"/>
                </a:schemeClr>
              </a:solidFill>
              <a:ln w="9525" cap="flat" cmpd="sng" algn="ctr">
                <a:solidFill>
                  <a:schemeClr val="lt1">
                    <a:alpha val="50000"/>
                  </a:schemeClr>
                </a:solidFill>
                <a:round/>
              </a:ln>
              <a:effectLst/>
            </c:spPr>
            <c:extLst>
              <c:ext xmlns:c16="http://schemas.microsoft.com/office/drawing/2014/chart" uri="{C3380CC4-5D6E-409C-BE32-E72D297353CC}">
                <c16:uniqueId val="{0000000A-0F87-4619-AB86-C48C64029C09}"/>
              </c:ext>
            </c:extLst>
          </c:dPt>
          <c:dPt>
            <c:idx val="14"/>
            <c:invertIfNegative val="0"/>
            <c:bubble3D val="0"/>
            <c:spPr>
              <a:solidFill>
                <a:srgbClr val="FFFF00"/>
              </a:solidFill>
              <a:ln w="9525" cap="flat" cmpd="sng" algn="ctr">
                <a:solidFill>
                  <a:schemeClr val="lt1">
                    <a:alpha val="50000"/>
                  </a:schemeClr>
                </a:solidFill>
                <a:round/>
              </a:ln>
              <a:effectLst/>
            </c:spPr>
            <c:extLst>
              <c:ext xmlns:c16="http://schemas.microsoft.com/office/drawing/2014/chart" uri="{C3380CC4-5D6E-409C-BE32-E72D297353CC}">
                <c16:uniqueId val="{0000000D-40BB-4EA4-A714-2EAF01B4BC39}"/>
              </c:ext>
            </c:extLst>
          </c:dPt>
          <c:dLbls>
            <c:dLbl>
              <c:idx val="8"/>
              <c:layout>
                <c:manualLayout>
                  <c:x val="0"/>
                  <c:y val="6.1403508771929821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2D1-4A40-9C56-2C692DA21A62}"/>
                </c:ext>
              </c:extLst>
            </c:dLbl>
            <c:spPr>
              <a:solidFill>
                <a:schemeClr val="tx1"/>
              </a:solid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COLI!$B$22:$B$39</c:f>
              <c:strCache>
                <c:ptCount val="18"/>
                <c:pt idx="0">
                  <c:v>Gavilan Community College District (2024-2027)</c:v>
                </c:pt>
                <c:pt idx="1">
                  <c:v>Cabrillo Community College District (2022-2025)</c:v>
                </c:pt>
                <c:pt idx="2">
                  <c:v>Contra Costa Community College District (2022-2025)</c:v>
                </c:pt>
                <c:pt idx="3">
                  <c:v>Allan Hancock CCD (2024-2027)</c:v>
                </c:pt>
                <c:pt idx="4">
                  <c:v>Ventura County CCD (2022-2025)</c:v>
                </c:pt>
                <c:pt idx="5">
                  <c:v>Hartnell Community College District (2022-2025)</c:v>
                </c:pt>
                <c:pt idx="6">
                  <c:v>Monterey - Peninsula Community College District (2022-2025)</c:v>
                </c:pt>
                <c:pt idx="7">
                  <c:v>San Luis Obispo County Community College District (2023-2025)</c:v>
                </c:pt>
                <c:pt idx="8">
                  <c:v>Los Rios Community College District (2023-2026)</c:v>
                </c:pt>
                <c:pt idx="9">
                  <c:v>San Joaquin Delta CCD (2024-2027)</c:v>
                </c:pt>
                <c:pt idx="10">
                  <c:v>Yosemite Community College District (2023-2026) </c:v>
                </c:pt>
                <c:pt idx="11">
                  <c:v>Merced Community College District (2024-2027)</c:v>
                </c:pt>
                <c:pt idx="12">
                  <c:v>West Hills Community College District (2022-2025) </c:v>
                </c:pt>
                <c:pt idx="13">
                  <c:v>State Center Community College District (2022-2025) + 3.3%</c:v>
                </c:pt>
                <c:pt idx="14">
                  <c:v>State Center Community College District (2022-2025) </c:v>
                </c:pt>
                <c:pt idx="15">
                  <c:v>Kern Community College District (2023-2026)</c:v>
                </c:pt>
                <c:pt idx="16">
                  <c:v>West Kern Community College District (Taft College) (2023-2026)</c:v>
                </c:pt>
                <c:pt idx="17">
                  <c:v>College of the Sequoias (2024-2027)</c:v>
                </c:pt>
              </c:strCache>
            </c:strRef>
          </c:cat>
          <c:val>
            <c:numRef>
              <c:f>COLI!$C$22:$C$39</c:f>
              <c:numCache>
                <c:formatCode>General</c:formatCode>
                <c:ptCount val="18"/>
                <c:pt idx="0">
                  <c:v>231</c:v>
                </c:pt>
                <c:pt idx="1">
                  <c:v>186</c:v>
                </c:pt>
                <c:pt idx="2">
                  <c:v>174.9</c:v>
                </c:pt>
                <c:pt idx="3">
                  <c:v>154.69999999999999</c:v>
                </c:pt>
                <c:pt idx="4">
                  <c:v>154</c:v>
                </c:pt>
                <c:pt idx="5">
                  <c:v>151.9</c:v>
                </c:pt>
                <c:pt idx="6">
                  <c:v>151.9</c:v>
                </c:pt>
                <c:pt idx="7">
                  <c:v>146.1</c:v>
                </c:pt>
                <c:pt idx="8">
                  <c:v>127.2</c:v>
                </c:pt>
                <c:pt idx="9">
                  <c:v>124.7</c:v>
                </c:pt>
                <c:pt idx="10">
                  <c:v>116.3</c:v>
                </c:pt>
                <c:pt idx="11">
                  <c:v>109.1</c:v>
                </c:pt>
                <c:pt idx="12">
                  <c:v>103.7</c:v>
                </c:pt>
                <c:pt idx="13">
                  <c:v>103.7</c:v>
                </c:pt>
                <c:pt idx="14">
                  <c:v>103.7</c:v>
                </c:pt>
                <c:pt idx="15">
                  <c:v>99.8</c:v>
                </c:pt>
                <c:pt idx="16">
                  <c:v>99.8</c:v>
                </c:pt>
                <c:pt idx="17">
                  <c:v>99.6</c:v>
                </c:pt>
              </c:numCache>
            </c:numRef>
          </c:val>
          <c:extLst>
            <c:ext xmlns:c15="http://schemas.microsoft.com/office/drawing/2012/chart" uri="{02D57815-91ED-43cb-92C2-25804820EDAC}">
              <c15:filteredSeriesTitle>
                <c15:tx>
                  <c:strRef>
                    <c:extLst>
                      <c:ext uri="{02D57815-91ED-43cb-92C2-25804820EDAC}">
                        <c15:formulaRef>
                          <c15:sqref> </c15:sqref>
                        </c15:formulaRef>
                      </c:ext>
                    </c:extLst>
                  </c:strRef>
                </c15:tx>
              </c15:filteredSeriesTitle>
            </c:ext>
            <c:ext xmlns:c16="http://schemas.microsoft.com/office/drawing/2014/chart" uri="{C3380CC4-5D6E-409C-BE32-E72D297353CC}">
              <c16:uniqueId val="{00000008-B530-4B64-B3EE-330EE760010F}"/>
            </c:ext>
          </c:extLst>
        </c:ser>
        <c:dLbls>
          <c:dLblPos val="inEnd"/>
          <c:showLegendKey val="0"/>
          <c:showVal val="1"/>
          <c:showCatName val="0"/>
          <c:showSerName val="0"/>
          <c:showPercent val="0"/>
          <c:showBubbleSize val="0"/>
        </c:dLbls>
        <c:gapWidth val="20"/>
        <c:axId val="616793208"/>
        <c:axId val="616788896"/>
      </c:barChart>
      <c:catAx>
        <c:axId val="616793208"/>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n-US"/>
          </a:p>
        </c:txPr>
        <c:crossAx val="616788896"/>
        <c:crosses val="autoZero"/>
        <c:auto val="1"/>
        <c:lblAlgn val="ctr"/>
        <c:lblOffset val="100"/>
        <c:noMultiLvlLbl val="0"/>
      </c:catAx>
      <c:valAx>
        <c:axId val="616788896"/>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General" sourceLinked="1"/>
        <c:majorTickMark val="none"/>
        <c:minorTickMark val="none"/>
        <c:tickLblPos val="nextTo"/>
        <c:crossAx val="616793208"/>
        <c:crosses val="autoZero"/>
        <c:crossBetween val="between"/>
      </c:valAx>
      <c:spPr>
        <a:noFill/>
        <a:ln>
          <a:noFill/>
        </a:ln>
        <a:effectLst/>
      </c:spPr>
    </c:plotArea>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n-US"/>
    </a:p>
  </c:txPr>
  <c:printSettings>
    <c:headerFooter/>
    <c:pageMargins b="0.75000000000000011" l="0.70000000000000007" r="0.70000000000000007" t="0.75000000000000011" header="0.30000000000000004" footer="0.30000000000000004"/>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all" spc="120" normalizeH="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a:latin typeface="Arial" panose="020B0604020202020204" pitchFamily="34" charset="0"/>
                <a:cs typeface="Arial" panose="020B0604020202020204" pitchFamily="34" charset="0"/>
              </a:rPr>
              <a:t>Equivalent Standard of Living</a:t>
            </a:r>
            <a:r>
              <a:rPr lang="en-US" baseline="0">
                <a:latin typeface="Arial" panose="020B0604020202020204" pitchFamily="34" charset="0"/>
                <a:cs typeface="Arial" panose="020B0604020202020204" pitchFamily="34" charset="0"/>
              </a:rPr>
              <a:t> in fresno, cA</a:t>
            </a:r>
            <a:endParaRPr lang="en-US">
              <a:latin typeface="Arial" panose="020B0604020202020204" pitchFamily="34" charset="0"/>
              <a:cs typeface="Arial" panose="020B0604020202020204" pitchFamily="34" charset="0"/>
            </a:endParaRPr>
          </a:p>
        </c:rich>
      </c:tx>
      <c:overlay val="0"/>
      <c:spPr>
        <a:noFill/>
        <a:ln>
          <a:noFill/>
        </a:ln>
        <a:effectLst/>
      </c:spPr>
      <c:txPr>
        <a:bodyPr rot="0" spcFirstLastPara="1" vertOverflow="ellipsis" vert="horz" wrap="square" anchor="ctr" anchorCtr="1"/>
        <a:lstStyle/>
        <a:p>
          <a:pPr>
            <a:defRPr sz="1600" b="1" i="0" u="none" strike="noStrike" kern="1200" cap="all" spc="120" normalizeH="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9.6350362748425476E-3"/>
          <c:y val="0.17631926605215154"/>
          <c:w val="0.98072992745031495"/>
          <c:h val="0.6720446602722806"/>
        </c:manualLayout>
      </c:layout>
      <c:barChart>
        <c:barDir val="col"/>
        <c:grouping val="clustered"/>
        <c:varyColors val="0"/>
        <c:ser>
          <c:idx val="0"/>
          <c:order val="0"/>
          <c:tx>
            <c:v>High Salary (MA+)</c:v>
          </c:tx>
          <c:spPr>
            <a:solidFill>
              <a:srgbClr val="00B0F0"/>
            </a:solidFill>
            <a:ln>
              <a:noFill/>
            </a:ln>
            <a:effectLst/>
          </c:spPr>
          <c:invertIfNegative val="0"/>
          <c:dPt>
            <c:idx val="2"/>
            <c:invertIfNegative val="0"/>
            <c:bubble3D val="0"/>
            <c:spPr>
              <a:solidFill>
                <a:srgbClr val="00B0F0"/>
              </a:solidFill>
              <a:ln>
                <a:noFill/>
              </a:ln>
              <a:effectLst/>
            </c:spPr>
            <c:extLst>
              <c:ext xmlns:c16="http://schemas.microsoft.com/office/drawing/2014/chart" uri="{C3380CC4-5D6E-409C-BE32-E72D297353CC}">
                <c16:uniqueId val="{00000000-37DA-4141-9D07-18F6FA9B368F}"/>
              </c:ext>
            </c:extLst>
          </c:dPt>
          <c:dPt>
            <c:idx val="3"/>
            <c:invertIfNegative val="0"/>
            <c:bubble3D val="0"/>
            <c:spPr>
              <a:solidFill>
                <a:srgbClr val="00B0F0"/>
              </a:solidFill>
              <a:ln w="28575">
                <a:solidFill>
                  <a:schemeClr val="accent6">
                    <a:lumMod val="75000"/>
                  </a:schemeClr>
                </a:solidFill>
              </a:ln>
              <a:effectLst/>
            </c:spPr>
            <c:extLst>
              <c:ext xmlns:c16="http://schemas.microsoft.com/office/drawing/2014/chart" uri="{C3380CC4-5D6E-409C-BE32-E72D297353CC}">
                <c16:uniqueId val="{0000000C-7634-4BA3-B346-24D3D980F215}"/>
              </c:ext>
            </c:extLst>
          </c:dPt>
          <c:dPt>
            <c:idx val="4"/>
            <c:invertIfNegative val="0"/>
            <c:bubble3D val="0"/>
            <c:spPr>
              <a:solidFill>
                <a:srgbClr val="00B0F0"/>
              </a:solidFill>
              <a:ln w="25400">
                <a:solidFill>
                  <a:srgbClr val="00B0F0"/>
                </a:solidFill>
              </a:ln>
              <a:effectLst/>
            </c:spPr>
            <c:extLst>
              <c:ext xmlns:c16="http://schemas.microsoft.com/office/drawing/2014/chart" uri="{C3380CC4-5D6E-409C-BE32-E72D297353CC}">
                <c16:uniqueId val="{00000008-444A-4567-B2AA-6C0EA807310E}"/>
              </c:ext>
            </c:extLst>
          </c:dPt>
          <c:dPt>
            <c:idx val="5"/>
            <c:invertIfNegative val="0"/>
            <c:bubble3D val="0"/>
            <c:spPr>
              <a:solidFill>
                <a:srgbClr val="00B0F0"/>
              </a:solidFill>
              <a:ln w="25400">
                <a:solidFill>
                  <a:srgbClr val="FFFF00"/>
                </a:solidFill>
              </a:ln>
              <a:effectLst/>
            </c:spPr>
            <c:extLst>
              <c:ext xmlns:c16="http://schemas.microsoft.com/office/drawing/2014/chart" uri="{C3380CC4-5D6E-409C-BE32-E72D297353CC}">
                <c16:uniqueId val="{00000004-DE61-40CB-A0B8-011E658F61F9}"/>
              </c:ext>
            </c:extLst>
          </c:dPt>
          <c:dLbls>
            <c:spPr>
              <a:noFill/>
              <a:ln>
                <a:noFill/>
              </a:ln>
              <a:effectLst/>
            </c:spPr>
            <c:txPr>
              <a:bodyPr rot="-5400000" spcFirstLastPara="1" vertOverflow="clip" horzOverflow="clip" vert="horz" wrap="square" lIns="38100" tIns="19050" rIns="38100" bIns="19050" anchor="ctr" anchorCtr="1">
                <a:spAutoFit/>
              </a:bodyPr>
              <a:lstStyle/>
              <a:p>
                <a:pPr>
                  <a:defRPr sz="900" b="0" i="0" u="none" strike="noStrike" kern="1200" baseline="0">
                    <a:solidFill>
                      <a:schemeClr val="tx1">
                        <a:lumMod val="85000"/>
                        <a:lumOff val="15000"/>
                      </a:schemeClr>
                    </a:solidFill>
                    <a:latin typeface="Arial" panose="020B0604020202020204" pitchFamily="34" charset="0"/>
                    <a:ea typeface="+mn-ea"/>
                    <a:cs typeface="Arial" panose="020B060402020202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'Comp-Eq-SOL'!$B$37:$B$54</c:f>
              <c:strCache>
                <c:ptCount val="18"/>
                <c:pt idx="0">
                  <c:v>College of the Sequoias (2024-2027)</c:v>
                </c:pt>
                <c:pt idx="1">
                  <c:v>West Hills Community College District (2022-2025) </c:v>
                </c:pt>
                <c:pt idx="2">
                  <c:v>Kern Community College District (2023-2026)</c:v>
                </c:pt>
                <c:pt idx="3">
                  <c:v>State Center Community College District (2022-2025) + 3.3%</c:v>
                </c:pt>
                <c:pt idx="4">
                  <c:v>West Kern Community College District (Taft College) (2023-2026)</c:v>
                </c:pt>
                <c:pt idx="5">
                  <c:v>State Center Community College District (2022-2025) </c:v>
                </c:pt>
                <c:pt idx="6">
                  <c:v>Merced Community College District (2024-2027)</c:v>
                </c:pt>
                <c:pt idx="7">
                  <c:v>San Joaquin Delta CCD (2024-2027)</c:v>
                </c:pt>
                <c:pt idx="8">
                  <c:v>Yosemite Community College District (2023-2026) </c:v>
                </c:pt>
                <c:pt idx="9">
                  <c:v>Los Rios Community College District (2023-2026)</c:v>
                </c:pt>
                <c:pt idx="10">
                  <c:v>Contra Costa Community College District (2022-2025)</c:v>
                </c:pt>
                <c:pt idx="11">
                  <c:v>Ventura County CCD (2022-2025)</c:v>
                </c:pt>
                <c:pt idx="12">
                  <c:v>San Luis Obispo County Community College District (2023-2025)</c:v>
                </c:pt>
                <c:pt idx="13">
                  <c:v>Hartnell Community College District (2022-2025)</c:v>
                </c:pt>
                <c:pt idx="14">
                  <c:v>Monterey - Peninsula Community College District (2022-2025)</c:v>
                </c:pt>
                <c:pt idx="15">
                  <c:v>Cabrillo Community College District (2022-2025)</c:v>
                </c:pt>
                <c:pt idx="16">
                  <c:v>Allan Hancock CCD (2024-2027)</c:v>
                </c:pt>
                <c:pt idx="17">
                  <c:v>Gavilan Community College District (2024-2027)</c:v>
                </c:pt>
              </c:strCache>
            </c:strRef>
          </c:cat>
          <c:val>
            <c:numRef>
              <c:f>'Comp-Eq-SOL'!$C$37:$C$54</c:f>
              <c:numCache>
                <c:formatCode>_("$"* #,##0.00_);_("$"* \(#,##0.00\);_("$"* "-"??_);_(@_)</c:formatCode>
                <c:ptCount val="18"/>
                <c:pt idx="0">
                  <c:v>184165.24</c:v>
                </c:pt>
                <c:pt idx="1">
                  <c:v>160191</c:v>
                </c:pt>
                <c:pt idx="2">
                  <c:v>154352.71</c:v>
                </c:pt>
                <c:pt idx="3">
                  <c:v>155995.39600000001</c:v>
                </c:pt>
                <c:pt idx="4">
                  <c:v>149099</c:v>
                </c:pt>
                <c:pt idx="5">
                  <c:v>147346</c:v>
                </c:pt>
                <c:pt idx="6">
                  <c:v>154982</c:v>
                </c:pt>
                <c:pt idx="7">
                  <c:v>147880</c:v>
                </c:pt>
                <c:pt idx="8">
                  <c:v>141835</c:v>
                </c:pt>
                <c:pt idx="9">
                  <c:v>137884</c:v>
                </c:pt>
                <c:pt idx="10">
                  <c:v>132264</c:v>
                </c:pt>
                <c:pt idx="11">
                  <c:v>132423.79999999999</c:v>
                </c:pt>
                <c:pt idx="12">
                  <c:v>141663</c:v>
                </c:pt>
                <c:pt idx="13">
                  <c:v>144970</c:v>
                </c:pt>
                <c:pt idx="14">
                  <c:v>137554</c:v>
                </c:pt>
                <c:pt idx="15">
                  <c:v>140601</c:v>
                </c:pt>
                <c:pt idx="16">
                  <c:v>127485</c:v>
                </c:pt>
                <c:pt idx="17">
                  <c:v>139768.37</c:v>
                </c:pt>
              </c:numCache>
            </c:numRef>
          </c:val>
          <c:extLst>
            <c:ext xmlns:c16="http://schemas.microsoft.com/office/drawing/2014/chart" uri="{C3380CC4-5D6E-409C-BE32-E72D297353CC}">
              <c16:uniqueId val="{00000000-06C4-41BB-B0DB-E28702417CCA}"/>
            </c:ext>
          </c:extLst>
        </c:ser>
        <c:ser>
          <c:idx val="1"/>
          <c:order val="1"/>
          <c:tx>
            <c:v>Equivalent Standard of Living in Fresno</c:v>
          </c:tx>
          <c:spPr>
            <a:solidFill>
              <a:srgbClr val="0070C0"/>
            </a:solidFill>
            <a:ln>
              <a:noFill/>
            </a:ln>
            <a:effectLst/>
          </c:spPr>
          <c:invertIfNegative val="0"/>
          <c:dPt>
            <c:idx val="2"/>
            <c:invertIfNegative val="0"/>
            <c:bubble3D val="0"/>
            <c:spPr>
              <a:solidFill>
                <a:srgbClr val="0070C0"/>
              </a:solidFill>
              <a:ln>
                <a:noFill/>
              </a:ln>
              <a:effectLst/>
            </c:spPr>
            <c:extLst>
              <c:ext xmlns:c16="http://schemas.microsoft.com/office/drawing/2014/chart" uri="{C3380CC4-5D6E-409C-BE32-E72D297353CC}">
                <c16:uniqueId val="{00000001-37DA-4141-9D07-18F6FA9B368F}"/>
              </c:ext>
            </c:extLst>
          </c:dPt>
          <c:dPt>
            <c:idx val="3"/>
            <c:invertIfNegative val="0"/>
            <c:bubble3D val="0"/>
            <c:spPr>
              <a:solidFill>
                <a:srgbClr val="0070C0"/>
              </a:solidFill>
              <a:ln w="28575">
                <a:solidFill>
                  <a:schemeClr val="accent6">
                    <a:lumMod val="75000"/>
                  </a:schemeClr>
                </a:solidFill>
              </a:ln>
              <a:effectLst/>
            </c:spPr>
            <c:extLst>
              <c:ext xmlns:c16="http://schemas.microsoft.com/office/drawing/2014/chart" uri="{C3380CC4-5D6E-409C-BE32-E72D297353CC}">
                <c16:uniqueId val="{0000000D-7634-4BA3-B346-24D3D980F215}"/>
              </c:ext>
            </c:extLst>
          </c:dPt>
          <c:dPt>
            <c:idx val="4"/>
            <c:invertIfNegative val="0"/>
            <c:bubble3D val="0"/>
            <c:spPr>
              <a:solidFill>
                <a:srgbClr val="0070C0"/>
              </a:solidFill>
              <a:ln w="25400">
                <a:solidFill>
                  <a:srgbClr val="0070C0"/>
                </a:solidFill>
              </a:ln>
              <a:effectLst/>
            </c:spPr>
            <c:extLst>
              <c:ext xmlns:c16="http://schemas.microsoft.com/office/drawing/2014/chart" uri="{C3380CC4-5D6E-409C-BE32-E72D297353CC}">
                <c16:uniqueId val="{00000009-444A-4567-B2AA-6C0EA807310E}"/>
              </c:ext>
            </c:extLst>
          </c:dPt>
          <c:dPt>
            <c:idx val="5"/>
            <c:invertIfNegative val="0"/>
            <c:bubble3D val="0"/>
            <c:spPr>
              <a:solidFill>
                <a:srgbClr val="0070C0"/>
              </a:solidFill>
              <a:ln w="25400">
                <a:solidFill>
                  <a:srgbClr val="FFFF00"/>
                </a:solidFill>
              </a:ln>
              <a:effectLst/>
            </c:spPr>
            <c:extLst>
              <c:ext xmlns:c16="http://schemas.microsoft.com/office/drawing/2014/chart" uri="{C3380CC4-5D6E-409C-BE32-E72D297353CC}">
                <c16:uniqueId val="{00000005-DE61-40CB-A0B8-011E658F61F9}"/>
              </c:ext>
            </c:extLst>
          </c:dPt>
          <c:dLbls>
            <c:spPr>
              <a:noFill/>
              <a:ln>
                <a:noFill/>
              </a:ln>
              <a:effectLst/>
            </c:spPr>
            <c:txPr>
              <a:bodyPr rot="-5400000" spcFirstLastPara="1" vertOverflow="clip" horzOverflow="clip" vert="horz" wrap="square" lIns="38100" tIns="19050" rIns="38100" bIns="19050" anchor="ctr" anchorCtr="1">
                <a:spAutoFit/>
              </a:bodyPr>
              <a:lstStyle/>
              <a:p>
                <a:pPr>
                  <a:defRPr sz="900" b="0" i="0" u="none" strike="noStrike" kern="1200" baseline="0">
                    <a:solidFill>
                      <a:schemeClr val="tx1">
                        <a:lumMod val="85000"/>
                        <a:lumOff val="15000"/>
                      </a:schemeClr>
                    </a:solidFill>
                    <a:latin typeface="Arial" panose="020B0604020202020204" pitchFamily="34" charset="0"/>
                    <a:ea typeface="+mn-ea"/>
                    <a:cs typeface="Arial" panose="020B060402020202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'Comp-Eq-SOL'!$B$37:$B$54</c:f>
              <c:strCache>
                <c:ptCount val="18"/>
                <c:pt idx="0">
                  <c:v>College of the Sequoias (2024-2027)</c:v>
                </c:pt>
                <c:pt idx="1">
                  <c:v>West Hills Community College District (2022-2025) </c:v>
                </c:pt>
                <c:pt idx="2">
                  <c:v>Kern Community College District (2023-2026)</c:v>
                </c:pt>
                <c:pt idx="3">
                  <c:v>State Center Community College District (2022-2025) + 3.3%</c:v>
                </c:pt>
                <c:pt idx="4">
                  <c:v>West Kern Community College District (Taft College) (2023-2026)</c:v>
                </c:pt>
                <c:pt idx="5">
                  <c:v>State Center Community College District (2022-2025) </c:v>
                </c:pt>
                <c:pt idx="6">
                  <c:v>Merced Community College District (2024-2027)</c:v>
                </c:pt>
                <c:pt idx="7">
                  <c:v>San Joaquin Delta CCD (2024-2027)</c:v>
                </c:pt>
                <c:pt idx="8">
                  <c:v>Yosemite Community College District (2023-2026) </c:v>
                </c:pt>
                <c:pt idx="9">
                  <c:v>Los Rios Community College District (2023-2026)</c:v>
                </c:pt>
                <c:pt idx="10">
                  <c:v>Contra Costa Community College District (2022-2025)</c:v>
                </c:pt>
                <c:pt idx="11">
                  <c:v>Ventura County CCD (2022-2025)</c:v>
                </c:pt>
                <c:pt idx="12">
                  <c:v>San Luis Obispo County Community College District (2023-2025)</c:v>
                </c:pt>
                <c:pt idx="13">
                  <c:v>Hartnell Community College District (2022-2025)</c:v>
                </c:pt>
                <c:pt idx="14">
                  <c:v>Monterey - Peninsula Community College District (2022-2025)</c:v>
                </c:pt>
                <c:pt idx="15">
                  <c:v>Cabrillo Community College District (2022-2025)</c:v>
                </c:pt>
                <c:pt idx="16">
                  <c:v>Allan Hancock CCD (2024-2027)</c:v>
                </c:pt>
                <c:pt idx="17">
                  <c:v>Gavilan Community College District (2024-2027)</c:v>
                </c:pt>
              </c:strCache>
            </c:strRef>
          </c:cat>
          <c:val>
            <c:numRef>
              <c:f>'Comp-Eq-SOL'!$D$37:$D$54</c:f>
              <c:numCache>
                <c:formatCode>_("$"* #,##0.00_);_("$"* \(#,##0.00\);_("$"* "-"??_);_(@_)</c:formatCode>
                <c:ptCount val="18"/>
                <c:pt idx="0">
                  <c:v>185270.23144</c:v>
                </c:pt>
                <c:pt idx="1">
                  <c:v>161152.14600000001</c:v>
                </c:pt>
                <c:pt idx="2">
                  <c:v>156976.70606999999</c:v>
                </c:pt>
                <c:pt idx="3">
                  <c:v>155995.39600000001</c:v>
                </c:pt>
                <c:pt idx="4">
                  <c:v>152528.277</c:v>
                </c:pt>
                <c:pt idx="5">
                  <c:v>147346</c:v>
                </c:pt>
                <c:pt idx="6">
                  <c:v>144753.18799999999</c:v>
                </c:pt>
                <c:pt idx="7">
                  <c:v>133239.88</c:v>
                </c:pt>
                <c:pt idx="8">
                  <c:v>131622.88</c:v>
                </c:pt>
                <c:pt idx="9">
                  <c:v>112926.996</c:v>
                </c:pt>
                <c:pt idx="10">
                  <c:v>100520.64</c:v>
                </c:pt>
                <c:pt idx="11">
                  <c:v>98655.731</c:v>
                </c:pt>
                <c:pt idx="12">
                  <c:v>97180.817999999999</c:v>
                </c:pt>
                <c:pt idx="13">
                  <c:v>96550.02</c:v>
                </c:pt>
                <c:pt idx="14">
                  <c:v>91473.41</c:v>
                </c:pt>
                <c:pt idx="15">
                  <c:v>87594.42300000001</c:v>
                </c:pt>
                <c:pt idx="16">
                  <c:v>86817.285000000003</c:v>
                </c:pt>
                <c:pt idx="17">
                  <c:v>84140.558740000008</c:v>
                </c:pt>
              </c:numCache>
            </c:numRef>
          </c:val>
          <c:extLst>
            <c:ext xmlns:c16="http://schemas.microsoft.com/office/drawing/2014/chart" uri="{C3380CC4-5D6E-409C-BE32-E72D297353CC}">
              <c16:uniqueId val="{00000001-06C4-41BB-B0DB-E28702417CCA}"/>
            </c:ext>
          </c:extLst>
        </c:ser>
        <c:dLbls>
          <c:dLblPos val="outEnd"/>
          <c:showLegendKey val="0"/>
          <c:showVal val="1"/>
          <c:showCatName val="0"/>
          <c:showSerName val="0"/>
          <c:showPercent val="0"/>
          <c:showBubbleSize val="0"/>
        </c:dLbls>
        <c:gapWidth val="444"/>
        <c:overlap val="-90"/>
        <c:axId val="555218280"/>
        <c:axId val="555216312"/>
      </c:barChart>
      <c:catAx>
        <c:axId val="555218280"/>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cap="all" spc="120" normalizeH="0" baseline="0">
                <a:solidFill>
                  <a:schemeClr val="tx1">
                    <a:lumMod val="85000"/>
                    <a:lumOff val="15000"/>
                  </a:schemeClr>
                </a:solidFill>
                <a:latin typeface="Arial" panose="020B0604020202020204" pitchFamily="34" charset="0"/>
                <a:ea typeface="+mn-ea"/>
                <a:cs typeface="Arial" panose="020B0604020202020204" pitchFamily="34" charset="0"/>
              </a:defRPr>
            </a:pPr>
            <a:endParaRPr lang="en-US"/>
          </a:p>
        </c:txPr>
        <c:crossAx val="555216312"/>
        <c:crosses val="autoZero"/>
        <c:auto val="1"/>
        <c:lblAlgn val="ctr"/>
        <c:lblOffset val="100"/>
        <c:noMultiLvlLbl val="0"/>
      </c:catAx>
      <c:valAx>
        <c:axId val="555216312"/>
        <c:scaling>
          <c:orientation val="minMax"/>
        </c:scaling>
        <c:delete val="1"/>
        <c:axPos val="l"/>
        <c:numFmt formatCode="_(&quot;$&quot;* #,##0.00_);_(&quot;$&quot;* \(#,##0.00\);_(&quot;$&quot;* &quot;-&quot;??_);_(@_)" sourceLinked="1"/>
        <c:majorTickMark val="none"/>
        <c:minorTickMark val="none"/>
        <c:tickLblPos val="nextTo"/>
        <c:crossAx val="555218280"/>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85000"/>
                  <a:lumOff val="1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lt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all" spc="120" normalizeH="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a:latin typeface="Arial" panose="020B0604020202020204" pitchFamily="34" charset="0"/>
                <a:cs typeface="Arial" panose="020B0604020202020204" pitchFamily="34" charset="0"/>
              </a:rPr>
              <a:t>SCCCD Equivalent Standard of Living</a:t>
            </a:r>
            <a:r>
              <a:rPr lang="en-US" baseline="0">
                <a:latin typeface="Arial" panose="020B0604020202020204" pitchFamily="34" charset="0"/>
                <a:cs typeface="Arial" panose="020B0604020202020204" pitchFamily="34" charset="0"/>
              </a:rPr>
              <a:t> in Comparative District</a:t>
            </a:r>
            <a:endParaRPr lang="en-US">
              <a:latin typeface="Arial" panose="020B0604020202020204" pitchFamily="34" charset="0"/>
              <a:cs typeface="Arial" panose="020B0604020202020204" pitchFamily="34" charset="0"/>
            </a:endParaRPr>
          </a:p>
        </c:rich>
      </c:tx>
      <c:overlay val="0"/>
      <c:spPr>
        <a:noFill/>
        <a:ln>
          <a:noFill/>
        </a:ln>
        <a:effectLst/>
      </c:spPr>
      <c:txPr>
        <a:bodyPr rot="0" spcFirstLastPara="1" vertOverflow="ellipsis" vert="horz" wrap="square" anchor="ctr" anchorCtr="1"/>
        <a:lstStyle/>
        <a:p>
          <a:pPr>
            <a:defRPr sz="1600" b="1" i="0" u="none" strike="noStrike" kern="1200" cap="all" spc="120" normalizeH="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1.1181891078610267E-2"/>
          <c:y val="0.20659657683634616"/>
          <c:w val="0.97947122761030248"/>
          <c:h val="0.67683383239066952"/>
        </c:manualLayout>
      </c:layout>
      <c:barChart>
        <c:barDir val="col"/>
        <c:grouping val="clustered"/>
        <c:varyColors val="0"/>
        <c:ser>
          <c:idx val="0"/>
          <c:order val="0"/>
          <c:tx>
            <c:v>High Salary (MA+)</c:v>
          </c:tx>
          <c:spPr>
            <a:solidFill>
              <a:schemeClr val="accent1"/>
            </a:solidFill>
            <a:ln>
              <a:noFill/>
            </a:ln>
            <a:effectLst/>
          </c:spPr>
          <c:invertIfNegative val="0"/>
          <c:dPt>
            <c:idx val="12"/>
            <c:invertIfNegative val="0"/>
            <c:bubble3D val="0"/>
            <c:spPr>
              <a:solidFill>
                <a:schemeClr val="accent1"/>
              </a:solidFill>
              <a:ln w="25400">
                <a:solidFill>
                  <a:schemeClr val="accent6">
                    <a:lumMod val="75000"/>
                  </a:schemeClr>
                </a:solidFill>
              </a:ln>
              <a:effectLst/>
            </c:spPr>
            <c:extLst>
              <c:ext xmlns:c16="http://schemas.microsoft.com/office/drawing/2014/chart" uri="{C3380CC4-5D6E-409C-BE32-E72D297353CC}">
                <c16:uniqueId val="{0000000D-1245-4F3B-B329-FB837AC50409}"/>
              </c:ext>
            </c:extLst>
          </c:dPt>
          <c:dPt>
            <c:idx val="13"/>
            <c:invertIfNegative val="0"/>
            <c:bubble3D val="0"/>
            <c:spPr>
              <a:solidFill>
                <a:schemeClr val="accent1"/>
              </a:solidFill>
              <a:ln w="22225">
                <a:solidFill>
                  <a:srgbClr val="FFFF00"/>
                </a:solidFill>
              </a:ln>
              <a:effectLst/>
            </c:spPr>
            <c:extLst>
              <c:ext xmlns:c16="http://schemas.microsoft.com/office/drawing/2014/chart" uri="{C3380CC4-5D6E-409C-BE32-E72D297353CC}">
                <c16:uniqueId val="{0000000F-1245-4F3B-B329-FB837AC50409}"/>
              </c:ext>
            </c:extLst>
          </c:dPt>
          <c:dLbls>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'Eq-Std-Living-Comp'!$B$38:$B$55</c:f>
              <c:strCache>
                <c:ptCount val="18"/>
                <c:pt idx="0">
                  <c:v>Gavilan Community College District (2024-2027)</c:v>
                </c:pt>
                <c:pt idx="1">
                  <c:v>Cabrillo Community College District (2022-2025)</c:v>
                </c:pt>
                <c:pt idx="2">
                  <c:v>Monterey - Peninsula Community College District (2022-2025)</c:v>
                </c:pt>
                <c:pt idx="3">
                  <c:v>Hartnell Community College District (2022-2025)</c:v>
                </c:pt>
                <c:pt idx="4">
                  <c:v>Allan Hancock CCD (2024-2027)</c:v>
                </c:pt>
                <c:pt idx="5">
                  <c:v>San Luis Obispo County Community College District (2023-2025)</c:v>
                </c:pt>
                <c:pt idx="6">
                  <c:v>Ventura County CCD (2022-2025)</c:v>
                </c:pt>
                <c:pt idx="7">
                  <c:v>Contra Costa Community College District (2022-2025)</c:v>
                </c:pt>
                <c:pt idx="8">
                  <c:v>Los Rios Community College District (2023-2026)</c:v>
                </c:pt>
                <c:pt idx="9">
                  <c:v>San Joaquin Delta CCD (2024-2027)</c:v>
                </c:pt>
                <c:pt idx="10">
                  <c:v>Yosemite Community College District (2023-2026) </c:v>
                </c:pt>
                <c:pt idx="11">
                  <c:v>Merced Community College District (2024-2027)</c:v>
                </c:pt>
                <c:pt idx="12">
                  <c:v>State Center Community College District (2022-2025) </c:v>
                </c:pt>
                <c:pt idx="13">
                  <c:v>State Center Community College District (2022-2025) + 3.3%</c:v>
                </c:pt>
                <c:pt idx="14">
                  <c:v>College of the Sequoias (2024-2027)</c:v>
                </c:pt>
                <c:pt idx="15">
                  <c:v>West Hills Community College District (2022-2025) </c:v>
                </c:pt>
                <c:pt idx="16">
                  <c:v>Kern Community College District (2023-2026)</c:v>
                </c:pt>
                <c:pt idx="17">
                  <c:v>West Kern Community College District (Taft College) (2023-2026)</c:v>
                </c:pt>
              </c:strCache>
            </c:strRef>
          </c:cat>
          <c:val>
            <c:numRef>
              <c:f>'Eq-Std-Living-Comp'!$C$38:$C$55</c:f>
              <c:numCache>
                <c:formatCode>_("$"* #,##0.00_);_("$"* \(#,##0.00\);_("$"* "-"??_);_(@_)</c:formatCode>
                <c:ptCount val="18"/>
                <c:pt idx="0">
                  <c:v>139768.37</c:v>
                </c:pt>
                <c:pt idx="1">
                  <c:v>140601</c:v>
                </c:pt>
                <c:pt idx="2">
                  <c:v>137554</c:v>
                </c:pt>
                <c:pt idx="3">
                  <c:v>144970</c:v>
                </c:pt>
                <c:pt idx="4">
                  <c:v>127485</c:v>
                </c:pt>
                <c:pt idx="5">
                  <c:v>141663</c:v>
                </c:pt>
                <c:pt idx="6">
                  <c:v>132423.79999999999</c:v>
                </c:pt>
                <c:pt idx="7">
                  <c:v>132264</c:v>
                </c:pt>
                <c:pt idx="8">
                  <c:v>137884</c:v>
                </c:pt>
                <c:pt idx="9">
                  <c:v>147880</c:v>
                </c:pt>
                <c:pt idx="10">
                  <c:v>141835</c:v>
                </c:pt>
                <c:pt idx="11">
                  <c:v>154982</c:v>
                </c:pt>
                <c:pt idx="12">
                  <c:v>147346</c:v>
                </c:pt>
                <c:pt idx="13">
                  <c:v>155995.39600000001</c:v>
                </c:pt>
                <c:pt idx="14">
                  <c:v>184165.24</c:v>
                </c:pt>
                <c:pt idx="15">
                  <c:v>160191</c:v>
                </c:pt>
                <c:pt idx="16">
                  <c:v>154352.71</c:v>
                </c:pt>
                <c:pt idx="17">
                  <c:v>149099</c:v>
                </c:pt>
              </c:numCache>
            </c:numRef>
          </c:val>
          <c:extLst xmlns:c15="http://schemas.microsoft.com/office/drawing/2012/chart">
            <c:ext xmlns:c16="http://schemas.microsoft.com/office/drawing/2014/chart" uri="{C3380CC4-5D6E-409C-BE32-E72D297353CC}">
              <c16:uniqueId val="{00000000-01C7-494E-AEB3-795117ADEE62}"/>
            </c:ext>
          </c:extLst>
        </c:ser>
        <c:ser>
          <c:idx val="2"/>
          <c:order val="2"/>
          <c:tx>
            <c:v>Equivalent Standard of Living in Comparative District</c:v>
          </c:tx>
          <c:spPr>
            <a:solidFill>
              <a:schemeClr val="accent5">
                <a:lumMod val="75000"/>
              </a:schemeClr>
            </a:solidFill>
            <a:ln>
              <a:noFill/>
            </a:ln>
            <a:effectLst/>
          </c:spPr>
          <c:invertIfNegative val="0"/>
          <c:dPt>
            <c:idx val="7"/>
            <c:invertIfNegative val="0"/>
            <c:bubble3D val="0"/>
            <c:spPr>
              <a:solidFill>
                <a:schemeClr val="accent5">
                  <a:lumMod val="75000"/>
                </a:schemeClr>
              </a:solidFill>
              <a:ln>
                <a:noFill/>
              </a:ln>
              <a:effectLst/>
            </c:spPr>
            <c:extLst>
              <c:ext xmlns:c16="http://schemas.microsoft.com/office/drawing/2014/chart" uri="{C3380CC4-5D6E-409C-BE32-E72D297353CC}">
                <c16:uniqueId val="{00000005-0A44-48E3-9DE6-44E1BC08CAE2}"/>
              </c:ext>
            </c:extLst>
          </c:dPt>
          <c:dPt>
            <c:idx val="12"/>
            <c:invertIfNegative val="0"/>
            <c:bubble3D val="0"/>
            <c:spPr>
              <a:solidFill>
                <a:schemeClr val="accent5">
                  <a:lumMod val="75000"/>
                </a:schemeClr>
              </a:solidFill>
              <a:ln w="22225">
                <a:solidFill>
                  <a:schemeClr val="accent6">
                    <a:lumMod val="75000"/>
                  </a:schemeClr>
                </a:solidFill>
              </a:ln>
              <a:effectLst/>
            </c:spPr>
            <c:extLst>
              <c:ext xmlns:c16="http://schemas.microsoft.com/office/drawing/2014/chart" uri="{C3380CC4-5D6E-409C-BE32-E72D297353CC}">
                <c16:uniqueId val="{00000009-0C49-4476-B830-6BEEAB38E743}"/>
              </c:ext>
            </c:extLst>
          </c:dPt>
          <c:dPt>
            <c:idx val="13"/>
            <c:invertIfNegative val="0"/>
            <c:bubble3D val="0"/>
            <c:spPr>
              <a:solidFill>
                <a:schemeClr val="accent5">
                  <a:lumMod val="75000"/>
                </a:schemeClr>
              </a:solidFill>
              <a:ln w="22225">
                <a:solidFill>
                  <a:srgbClr val="FFFF00"/>
                </a:solidFill>
              </a:ln>
              <a:effectLst/>
            </c:spPr>
            <c:extLst>
              <c:ext xmlns:c16="http://schemas.microsoft.com/office/drawing/2014/chart" uri="{C3380CC4-5D6E-409C-BE32-E72D297353CC}">
                <c16:uniqueId val="{00000001-8DF3-46B0-B6DB-5E6199C44DDA}"/>
              </c:ext>
            </c:extLst>
          </c:dPt>
          <c:dLbls>
            <c:spPr>
              <a:noFill/>
              <a:ln>
                <a:noFill/>
              </a:ln>
              <a:effectLst/>
            </c:spPr>
            <c:txPr>
              <a:bodyPr rot="-5400000" spcFirstLastPara="1" vertOverflow="clip" horzOverflow="clip" vert="horz" wrap="square" lIns="38100" tIns="19050" rIns="38100" bIns="19050" anchor="ctr" anchorCtr="1">
                <a:spAutoFit/>
              </a:bodyPr>
              <a:lstStyle/>
              <a:p>
                <a:pPr>
                  <a:defRPr sz="105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'Eq-Std-Living-Comp'!$B$38:$B$55</c:f>
              <c:strCache>
                <c:ptCount val="18"/>
                <c:pt idx="0">
                  <c:v>Gavilan Community College District (2024-2027)</c:v>
                </c:pt>
                <c:pt idx="1">
                  <c:v>Cabrillo Community College District (2022-2025)</c:v>
                </c:pt>
                <c:pt idx="2">
                  <c:v>Monterey - Peninsula Community College District (2022-2025)</c:v>
                </c:pt>
                <c:pt idx="3">
                  <c:v>Hartnell Community College District (2022-2025)</c:v>
                </c:pt>
                <c:pt idx="4">
                  <c:v>Allan Hancock CCD (2024-2027)</c:v>
                </c:pt>
                <c:pt idx="5">
                  <c:v>San Luis Obispo County Community College District (2023-2025)</c:v>
                </c:pt>
                <c:pt idx="6">
                  <c:v>Ventura County CCD (2022-2025)</c:v>
                </c:pt>
                <c:pt idx="7">
                  <c:v>Contra Costa Community College District (2022-2025)</c:v>
                </c:pt>
                <c:pt idx="8">
                  <c:v>Los Rios Community College District (2023-2026)</c:v>
                </c:pt>
                <c:pt idx="9">
                  <c:v>San Joaquin Delta CCD (2024-2027)</c:v>
                </c:pt>
                <c:pt idx="10">
                  <c:v>Yosemite Community College District (2023-2026) </c:v>
                </c:pt>
                <c:pt idx="11">
                  <c:v>Merced Community College District (2024-2027)</c:v>
                </c:pt>
                <c:pt idx="12">
                  <c:v>State Center Community College District (2022-2025) </c:v>
                </c:pt>
                <c:pt idx="13">
                  <c:v>State Center Community College District (2022-2025) + 3.3%</c:v>
                </c:pt>
                <c:pt idx="14">
                  <c:v>College of the Sequoias (2024-2027)</c:v>
                </c:pt>
                <c:pt idx="15">
                  <c:v>West Hills Community College District (2022-2025) </c:v>
                </c:pt>
                <c:pt idx="16">
                  <c:v>Kern Community College District (2023-2026)</c:v>
                </c:pt>
                <c:pt idx="17">
                  <c:v>West Kern Community College District (Taft College) (2023-2026)</c:v>
                </c:pt>
              </c:strCache>
            </c:strRef>
          </c:cat>
          <c:val>
            <c:numRef>
              <c:f>'Eq-Std-Living-Comp'!$F$38:$F$55</c:f>
              <c:numCache>
                <c:formatCode>_("$"* #,##0.00_);_("$"* \(#,##0.00\);_("$"* "-"??_);_(@_)</c:formatCode>
                <c:ptCount val="18"/>
                <c:pt idx="0">
                  <c:v>244741.70600000001</c:v>
                </c:pt>
                <c:pt idx="1">
                  <c:v>236342.984</c:v>
                </c:pt>
                <c:pt idx="2">
                  <c:v>221755.72999999998</c:v>
                </c:pt>
                <c:pt idx="3">
                  <c:v>221313.69199999998</c:v>
                </c:pt>
                <c:pt idx="4">
                  <c:v>216451.27399999998</c:v>
                </c:pt>
                <c:pt idx="5">
                  <c:v>214830.46799999999</c:v>
                </c:pt>
                <c:pt idx="6">
                  <c:v>197885.67799999999</c:v>
                </c:pt>
                <c:pt idx="7">
                  <c:v>193907.33600000001</c:v>
                </c:pt>
                <c:pt idx="8">
                  <c:v>179909.46600000001</c:v>
                </c:pt>
                <c:pt idx="9">
                  <c:v>163554.06</c:v>
                </c:pt>
                <c:pt idx="10">
                  <c:v>158691.64199999999</c:v>
                </c:pt>
                <c:pt idx="11">
                  <c:v>157807.56599999999</c:v>
                </c:pt>
                <c:pt idx="12">
                  <c:v>147346</c:v>
                </c:pt>
                <c:pt idx="13">
                  <c:v>147346</c:v>
                </c:pt>
                <c:pt idx="14">
                  <c:v>146461.924</c:v>
                </c:pt>
                <c:pt idx="15">
                  <c:v>146461.924</c:v>
                </c:pt>
                <c:pt idx="16">
                  <c:v>144988.46400000001</c:v>
                </c:pt>
                <c:pt idx="17">
                  <c:v>144104.38800000001</c:v>
                </c:pt>
              </c:numCache>
            </c:numRef>
          </c:val>
          <c:extLst>
            <c:ext xmlns:c16="http://schemas.microsoft.com/office/drawing/2014/chart" uri="{C3380CC4-5D6E-409C-BE32-E72D297353CC}">
              <c16:uniqueId val="{00000002-01C7-494E-AEB3-795117ADEE62}"/>
            </c:ext>
          </c:extLst>
        </c:ser>
        <c:ser>
          <c:idx val="3"/>
          <c:order val="3"/>
          <c:tx>
            <c:v>Equivalent Standard of Living in Comparative District (+3.3%)</c:v>
          </c:tx>
          <c:spPr>
            <a:solidFill>
              <a:schemeClr val="accent4"/>
            </a:solidFill>
            <a:ln>
              <a:noFill/>
            </a:ln>
            <a:effectLst/>
          </c:spPr>
          <c:invertIfNegative val="0"/>
          <c:dPt>
            <c:idx val="12"/>
            <c:invertIfNegative val="0"/>
            <c:bubble3D val="0"/>
            <c:spPr>
              <a:solidFill>
                <a:schemeClr val="accent4"/>
              </a:solidFill>
              <a:ln w="22225">
                <a:solidFill>
                  <a:schemeClr val="accent6">
                    <a:lumMod val="75000"/>
                  </a:schemeClr>
                </a:solidFill>
              </a:ln>
              <a:effectLst/>
            </c:spPr>
            <c:extLst>
              <c:ext xmlns:c16="http://schemas.microsoft.com/office/drawing/2014/chart" uri="{C3380CC4-5D6E-409C-BE32-E72D297353CC}">
                <c16:uniqueId val="{00000013-1569-4580-9F54-953E91C78466}"/>
              </c:ext>
            </c:extLst>
          </c:dPt>
          <c:dPt>
            <c:idx val="13"/>
            <c:invertIfNegative val="0"/>
            <c:bubble3D val="0"/>
            <c:spPr>
              <a:solidFill>
                <a:schemeClr val="accent4"/>
              </a:solidFill>
              <a:ln w="22225">
                <a:solidFill>
                  <a:srgbClr val="FFFF00"/>
                </a:solidFill>
              </a:ln>
              <a:effectLst/>
            </c:spPr>
            <c:extLst>
              <c:ext xmlns:c16="http://schemas.microsoft.com/office/drawing/2014/chart" uri="{C3380CC4-5D6E-409C-BE32-E72D297353CC}">
                <c16:uniqueId val="{00000012-1569-4580-9F54-953E91C78466}"/>
              </c:ext>
            </c:extLst>
          </c:dPt>
          <c:dLbls>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val>
            <c:numRef>
              <c:f>'Eq-Std-Living-Comp'!$G$38:$G$55</c:f>
              <c:numCache>
                <c:formatCode>_("$"* #,##0.00_);_("$"* \(#,##0.00\);_("$"* "-"??_);_(@_)</c:formatCode>
                <c:ptCount val="18"/>
                <c:pt idx="0">
                  <c:v>259041.91939999998</c:v>
                </c:pt>
                <c:pt idx="1">
                  <c:v>250216.62159999998</c:v>
                </c:pt>
                <c:pt idx="2">
                  <c:v>234773.07699999999</c:v>
                </c:pt>
                <c:pt idx="3">
                  <c:v>234305.09080000001</c:v>
                </c:pt>
                <c:pt idx="4">
                  <c:v>229157.2426</c:v>
                </c:pt>
                <c:pt idx="5">
                  <c:v>227441.29319999999</c:v>
                </c:pt>
                <c:pt idx="6">
                  <c:v>209501.8222</c:v>
                </c:pt>
                <c:pt idx="7">
                  <c:v>205289.94639999999</c:v>
                </c:pt>
                <c:pt idx="8">
                  <c:v>190470.38339999999</c:v>
                </c:pt>
                <c:pt idx="9">
                  <c:v>173154.894</c:v>
                </c:pt>
                <c:pt idx="10">
                  <c:v>168007.04579999999</c:v>
                </c:pt>
                <c:pt idx="11">
                  <c:v>167071.07339999999</c:v>
                </c:pt>
                <c:pt idx="12">
                  <c:v>155995.4</c:v>
                </c:pt>
                <c:pt idx="13">
                  <c:v>155955.4</c:v>
                </c:pt>
                <c:pt idx="14">
                  <c:v>156931.37239999999</c:v>
                </c:pt>
                <c:pt idx="15">
                  <c:v>156931.37239999999</c:v>
                </c:pt>
                <c:pt idx="16">
                  <c:v>158491.32639999999</c:v>
                </c:pt>
                <c:pt idx="17">
                  <c:v>159386.41879999998</c:v>
                </c:pt>
              </c:numCache>
            </c:numRef>
          </c:val>
          <c:extLst>
            <c:ext xmlns:c16="http://schemas.microsoft.com/office/drawing/2014/chart" uri="{C3380CC4-5D6E-409C-BE32-E72D297353CC}">
              <c16:uniqueId val="{00000011-1569-4580-9F54-953E91C78466}"/>
            </c:ext>
          </c:extLst>
        </c:ser>
        <c:dLbls>
          <c:dLblPos val="outEnd"/>
          <c:showLegendKey val="0"/>
          <c:showVal val="1"/>
          <c:showCatName val="0"/>
          <c:showSerName val="0"/>
          <c:showPercent val="0"/>
          <c:showBubbleSize val="0"/>
        </c:dLbls>
        <c:gapWidth val="444"/>
        <c:overlap val="-90"/>
        <c:axId val="545455808"/>
        <c:axId val="545452200"/>
        <c:extLst>
          <c:ext xmlns:c15="http://schemas.microsoft.com/office/drawing/2012/chart" uri="{02D57815-91ED-43cb-92C2-25804820EDAC}">
            <c15:filteredBarSeries>
              <c15:ser>
                <c:idx val="1"/>
                <c:order val="1"/>
                <c:tx>
                  <c:strRef>
                    <c:extLst>
                      <c:ext uri="{02D57815-91ED-43cb-92C2-25804820EDAC}">
                        <c15:formulaRef>
                          <c15:sqref> </c15:sqref>
                        </c15:formulaRef>
                      </c:ext>
                    </c:extLst>
                  </c:strRef>
                </c:tx>
                <c:spPr>
                  <a:solidFill>
                    <a:schemeClr val="tx2"/>
                  </a:solidFill>
                  <a:ln>
                    <a:noFill/>
                  </a:ln>
                  <a:effectLst/>
                </c:spPr>
                <c:invertIfNegative val="0"/>
                <c:dPt>
                  <c:idx val="7"/>
                  <c:invertIfNegative val="0"/>
                  <c:bubble3D val="0"/>
                  <c:spPr>
                    <a:solidFill>
                      <a:schemeClr val="tx2"/>
                    </a:solidFill>
                    <a:ln>
                      <a:noFill/>
                    </a:ln>
                    <a:effectLst/>
                  </c:spPr>
                  <c:extLst>
                    <c:ext xmlns:c16="http://schemas.microsoft.com/office/drawing/2014/chart" uri="{C3380CC4-5D6E-409C-BE32-E72D297353CC}">
                      <c16:uniqueId val="{00000004-0A44-48E3-9DE6-44E1BC08CAE2}"/>
                    </c:ext>
                  </c:extLst>
                </c:dPt>
                <c:dPt>
                  <c:idx val="12"/>
                  <c:invertIfNegative val="0"/>
                  <c:bubble3D val="0"/>
                  <c:spPr>
                    <a:solidFill>
                      <a:srgbClr val="FFFF00"/>
                    </a:solidFill>
                    <a:ln>
                      <a:noFill/>
                    </a:ln>
                    <a:effectLst/>
                  </c:spPr>
                  <c:extLst>
                    <c:ext xmlns:c16="http://schemas.microsoft.com/office/drawing/2014/chart" uri="{C3380CC4-5D6E-409C-BE32-E72D297353CC}">
                      <c16:uniqueId val="{00000008-0C49-4476-B830-6BEEAB38E743}"/>
                    </c:ext>
                  </c:extLst>
                </c:dPt>
                <c:dPt>
                  <c:idx val="13"/>
                  <c:invertIfNegative val="0"/>
                  <c:bubble3D val="0"/>
                  <c:spPr>
                    <a:solidFill>
                      <a:schemeClr val="tx2"/>
                    </a:solidFill>
                    <a:ln>
                      <a:noFill/>
                    </a:ln>
                    <a:effectLst/>
                  </c:spPr>
                  <c:extLst>
                    <c:ext xmlns:c16="http://schemas.microsoft.com/office/drawing/2014/chart" uri="{C3380CC4-5D6E-409C-BE32-E72D297353CC}">
                      <c16:uniqueId val="{00000000-8DF3-46B0-B6DB-5E6199C44DDA}"/>
                    </c:ext>
                  </c:extLst>
                </c:dPt>
                <c:dLbls>
                  <c:spPr>
                    <a:noFill/>
                    <a:ln>
                      <a:noFill/>
                    </a:ln>
                    <a:effectLst/>
                  </c:spPr>
                  <c:txPr>
                    <a:bodyPr rot="-5400000" spcFirstLastPara="1" vertOverflow="clip" horzOverflow="clip" vert="horz" wrap="square" lIns="38100" tIns="19050" rIns="38100" bIns="19050" anchor="ctr" anchorCtr="1">
                      <a:spAutoFit/>
                    </a:bodyPr>
                    <a:lstStyle/>
                    <a:p>
                      <a:pPr>
                        <a:defRPr sz="105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dLblPos val="outEnd"/>
                  <c:showLegendKey val="0"/>
                  <c:showVal val="1"/>
                  <c:showCatName val="0"/>
                  <c:showSerName val="0"/>
                  <c:showPercent val="0"/>
                  <c:showBubbleSize val="0"/>
                  <c:showLeaderLines val="0"/>
                  <c:extLst>
                    <c:ext uri="{CE6537A1-D6FC-4f65-9D91-7224C49458BB}">
                      <c15:showLeaderLines val="1"/>
                      <c15:leaderLines>
                        <c:spPr>
                          <a:ln w="9525">
                            <a:solidFill>
                              <a:schemeClr val="tx1">
                                <a:lumMod val="35000"/>
                                <a:lumOff val="65000"/>
                              </a:schemeClr>
                            </a:solidFill>
                          </a:ln>
                          <a:effectLst/>
                        </c:spPr>
                      </c15:leaderLines>
                    </c:ext>
                  </c:extLst>
                </c:dLbls>
                <c:cat>
                  <c:strRef>
                    <c:extLst>
                      <c:ext uri="{02D57815-91ED-43cb-92C2-25804820EDAC}">
                        <c15:formulaRef>
                          <c15:sqref>'Eq-Std-Living-Comp'!$B$38:$B$55</c15:sqref>
                        </c15:formulaRef>
                      </c:ext>
                    </c:extLst>
                    <c:strCache>
                      <c:ptCount val="18"/>
                      <c:pt idx="0">
                        <c:v>Gavilan Community College District (2024-2027)</c:v>
                      </c:pt>
                      <c:pt idx="1">
                        <c:v>Cabrillo Community College District (2022-2025)</c:v>
                      </c:pt>
                      <c:pt idx="2">
                        <c:v>Monterey - Peninsula Community College District (2022-2025)</c:v>
                      </c:pt>
                      <c:pt idx="3">
                        <c:v>Hartnell Community College District (2022-2025)</c:v>
                      </c:pt>
                      <c:pt idx="4">
                        <c:v>Allan Hancock CCD (2024-2027)</c:v>
                      </c:pt>
                      <c:pt idx="5">
                        <c:v>San Luis Obispo County Community College District (2023-2025)</c:v>
                      </c:pt>
                      <c:pt idx="6">
                        <c:v>Ventura County CCD (2022-2025)</c:v>
                      </c:pt>
                      <c:pt idx="7">
                        <c:v>Contra Costa Community College District (2022-2025)</c:v>
                      </c:pt>
                      <c:pt idx="8">
                        <c:v>Los Rios Community College District (2023-2026)</c:v>
                      </c:pt>
                      <c:pt idx="9">
                        <c:v>San Joaquin Delta CCD (2024-2027)</c:v>
                      </c:pt>
                      <c:pt idx="10">
                        <c:v>Yosemite Community College District (2023-2026) </c:v>
                      </c:pt>
                      <c:pt idx="11">
                        <c:v>Merced Community College District (2024-2027)</c:v>
                      </c:pt>
                      <c:pt idx="12">
                        <c:v>State Center Community College District (2022-2025) </c:v>
                      </c:pt>
                      <c:pt idx="13">
                        <c:v>State Center Community College District (2022-2025) + 3.3%</c:v>
                      </c:pt>
                      <c:pt idx="14">
                        <c:v>College of the Sequoias (2024-2027)</c:v>
                      </c:pt>
                      <c:pt idx="15">
                        <c:v>West Hills Community College District (2022-2025) </c:v>
                      </c:pt>
                      <c:pt idx="16">
                        <c:v>Kern Community College District (2023-2026)</c:v>
                      </c:pt>
                      <c:pt idx="17">
                        <c:v>West Kern Community College District (Taft College) (2023-2026)</c:v>
                      </c:pt>
                    </c:strCache>
                  </c:strRef>
                </c:cat>
                <c:val>
                  <c:numRef>
                    <c:extLst>
                      <c:ext uri="{02D57815-91ED-43cb-92C2-25804820EDAC}">
                        <c15:formulaRef>
                          <c15:sqref>'Eq-Std-Living-Comp'!$D$38:$D$55</c15:sqref>
                        </c15:formulaRef>
                      </c:ext>
                    </c:extLst>
                    <c:numCache>
                      <c:formatCode>_("$"* #,##0.00_);_("$"* \(#,##0.00\);_("$"* "-"??_);_(@_)</c:formatCode>
                      <c:ptCount val="18"/>
                      <c:pt idx="0">
                        <c:v>147346</c:v>
                      </c:pt>
                      <c:pt idx="1">
                        <c:v>147346</c:v>
                      </c:pt>
                      <c:pt idx="2">
                        <c:v>147346</c:v>
                      </c:pt>
                      <c:pt idx="3">
                        <c:v>147346</c:v>
                      </c:pt>
                      <c:pt idx="4">
                        <c:v>147346</c:v>
                      </c:pt>
                      <c:pt idx="5">
                        <c:v>147346</c:v>
                      </c:pt>
                      <c:pt idx="6">
                        <c:v>147346</c:v>
                      </c:pt>
                      <c:pt idx="7">
                        <c:v>147346</c:v>
                      </c:pt>
                      <c:pt idx="8">
                        <c:v>147346</c:v>
                      </c:pt>
                      <c:pt idx="9">
                        <c:v>147346</c:v>
                      </c:pt>
                      <c:pt idx="10">
                        <c:v>147346</c:v>
                      </c:pt>
                      <c:pt idx="11">
                        <c:v>147346</c:v>
                      </c:pt>
                      <c:pt idx="12">
                        <c:v>147346</c:v>
                      </c:pt>
                      <c:pt idx="13">
                        <c:v>147346</c:v>
                      </c:pt>
                      <c:pt idx="14">
                        <c:v>147346</c:v>
                      </c:pt>
                      <c:pt idx="15">
                        <c:v>147346</c:v>
                      </c:pt>
                      <c:pt idx="16">
                        <c:v>147346</c:v>
                      </c:pt>
                      <c:pt idx="17">
                        <c:v>147346</c:v>
                      </c:pt>
                    </c:numCache>
                  </c:numRef>
                </c:val>
                <c:extLst>
                  <c:ext xmlns:c16="http://schemas.microsoft.com/office/drawing/2014/chart" uri="{C3380CC4-5D6E-409C-BE32-E72D297353CC}">
                    <c16:uniqueId val="{00000001-01C7-494E-AEB3-795117ADEE62}"/>
                  </c:ext>
                </c:extLst>
              </c15:ser>
            </c15:filteredBarSeries>
          </c:ext>
        </c:extLst>
      </c:barChart>
      <c:catAx>
        <c:axId val="545455808"/>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cap="all" spc="120" normalizeH="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545452200"/>
        <c:crosses val="autoZero"/>
        <c:auto val="1"/>
        <c:lblAlgn val="ctr"/>
        <c:lblOffset val="100"/>
        <c:noMultiLvlLbl val="0"/>
      </c:catAx>
      <c:valAx>
        <c:axId val="545452200"/>
        <c:scaling>
          <c:orientation val="minMax"/>
        </c:scaling>
        <c:delete val="1"/>
        <c:axPos val="l"/>
        <c:numFmt formatCode="_(&quot;$&quot;* #,##0.00_);_(&quot;$&quot;* \(#,##0.00\);_(&quot;$&quot;* &quot;-&quot;??_);_(@_)" sourceLinked="1"/>
        <c:majorTickMark val="none"/>
        <c:minorTickMark val="none"/>
        <c:tickLblPos val="nextTo"/>
        <c:crossAx val="545455808"/>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105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lt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'Comp-Eq-SOL (2)'!$C$1</c:f>
              <c:strCache>
                <c:ptCount val="1"/>
                <c:pt idx="0">
                  <c:v>Comparative District's Equivalent Standard of Living in Blythe</c:v>
                </c:pt>
              </c:strCache>
            </c:strRef>
          </c:tx>
          <c:spPr>
            <a:solidFill>
              <a:schemeClr val="accent1"/>
            </a:solidFill>
            <a:ln>
              <a:noFill/>
            </a:ln>
            <a:effectLst/>
          </c:spPr>
          <c:invertIfNegative val="0"/>
          <c:dPt>
            <c:idx val="2"/>
            <c:invertIfNegative val="0"/>
            <c:bubble3D val="0"/>
            <c:spPr>
              <a:solidFill>
                <a:srgbClr val="FFFF00"/>
              </a:solidFill>
              <a:ln>
                <a:noFill/>
              </a:ln>
              <a:effectLst/>
            </c:spPr>
            <c:extLst>
              <c:ext xmlns:c16="http://schemas.microsoft.com/office/drawing/2014/chart" uri="{C3380CC4-5D6E-409C-BE32-E72D297353CC}">
                <c16:uniqueId val="{00000001-CBD4-478B-804E-FB9E44AE825A}"/>
              </c:ext>
            </c:extLst>
          </c:dPt>
          <c:cat>
            <c:strRef>
              <c:f>'Comp-Eq-SOL (2)'!$B$2:$B$15</c:f>
              <c:strCache>
                <c:ptCount val="13"/>
                <c:pt idx="0">
                  <c:v>Barstow 2018-2019</c:v>
                </c:pt>
                <c:pt idx="1">
                  <c:v>Kern CCD 2018-2019 </c:v>
                </c:pt>
                <c:pt idx="2">
                  <c:v>Palo Verde 2018-2019</c:v>
                </c:pt>
                <c:pt idx="3">
                  <c:v>Siskiyous 2016-2017</c:v>
                </c:pt>
                <c:pt idx="4">
                  <c:v>Copper Mountain 2018-2019</c:v>
                </c:pt>
                <c:pt idx="5">
                  <c:v>Lassen 2018-2019</c:v>
                </c:pt>
                <c:pt idx="6">
                  <c:v>San Bernardino 2018-2019</c:v>
                </c:pt>
                <c:pt idx="7">
                  <c:v>Feather River 2018-2019</c:v>
                </c:pt>
                <c:pt idx="8">
                  <c:v>Mt. San Jacinto 2017-2018</c:v>
                </c:pt>
                <c:pt idx="9">
                  <c:v>Riverside 2018-2019</c:v>
                </c:pt>
                <c:pt idx="10">
                  <c:v>Mendocino 2018-2019</c:v>
                </c:pt>
                <c:pt idx="11">
                  <c:v>Desert 2018-2019</c:v>
                </c:pt>
                <c:pt idx="12">
                  <c:v>Lake Tahoe 2018-2019</c:v>
                </c:pt>
              </c:strCache>
            </c:strRef>
          </c:cat>
          <c:val>
            <c:numRef>
              <c:f>'Comp-Eq-SOL (2)'!$C$2:$C$15</c:f>
              <c:numCache>
                <c:formatCode>"$"#,##0.00_);[Red]\("$"#,##0.00\)</c:formatCode>
                <c:ptCount val="14"/>
                <c:pt idx="0">
                  <c:v>15672.739999999991</c:v>
                </c:pt>
                <c:pt idx="1">
                  <c:v>4531.0400000000081</c:v>
                </c:pt>
                <c:pt idx="2">
                  <c:v>0</c:v>
                </c:pt>
                <c:pt idx="3">
                  <c:v>-188.22999999999593</c:v>
                </c:pt>
                <c:pt idx="4">
                  <c:v>-3139.1900000000023</c:v>
                </c:pt>
                <c:pt idx="5">
                  <c:v>-6335.25</c:v>
                </c:pt>
                <c:pt idx="6">
                  <c:v>-8974.8800000000047</c:v>
                </c:pt>
                <c:pt idx="7">
                  <c:v>-17417.080000000002</c:v>
                </c:pt>
                <c:pt idx="8">
                  <c:v>-18290.210000000006</c:v>
                </c:pt>
                <c:pt idx="9">
                  <c:v>-18808.850000000006</c:v>
                </c:pt>
                <c:pt idx="10">
                  <c:v>-21030.679999999993</c:v>
                </c:pt>
                <c:pt idx="11">
                  <c:v>-21594.690000000002</c:v>
                </c:pt>
                <c:pt idx="12">
                  <c:v>-39391.699999999997</c:v>
                </c:pt>
              </c:numCache>
            </c:numRef>
          </c:val>
          <c:extLst>
            <c:ext xmlns:c16="http://schemas.microsoft.com/office/drawing/2014/chart" uri="{C3380CC4-5D6E-409C-BE32-E72D297353CC}">
              <c16:uniqueId val="{0000000E-CBD4-478B-804E-FB9E44AE825A}"/>
            </c:ext>
          </c:extLst>
        </c:ser>
        <c:dLbls>
          <c:showLegendKey val="0"/>
          <c:showVal val="0"/>
          <c:showCatName val="0"/>
          <c:showSerName val="0"/>
          <c:showPercent val="0"/>
          <c:showBubbleSize val="0"/>
        </c:dLbls>
        <c:gapWidth val="219"/>
        <c:overlap val="-27"/>
        <c:axId val="616799872"/>
        <c:axId val="616800264"/>
      </c:barChart>
      <c:catAx>
        <c:axId val="6167998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16800264"/>
        <c:crosses val="autoZero"/>
        <c:auto val="1"/>
        <c:lblAlgn val="ctr"/>
        <c:lblOffset val="100"/>
        <c:noMultiLvlLbl val="0"/>
      </c:catAx>
      <c:valAx>
        <c:axId val="616800264"/>
        <c:scaling>
          <c:orientation val="minMax"/>
          <c:min val="-50000"/>
        </c:scaling>
        <c:delete val="0"/>
        <c:axPos val="l"/>
        <c:majorGridlines>
          <c:spPr>
            <a:ln w="9525" cap="flat" cmpd="sng" algn="ctr">
              <a:solidFill>
                <a:schemeClr val="tx1">
                  <a:lumMod val="15000"/>
                  <a:lumOff val="85000"/>
                </a:schemeClr>
              </a:solidFill>
              <a:round/>
            </a:ln>
            <a:effectLst/>
          </c:spPr>
        </c:majorGridlines>
        <c:numFmt formatCode="&quot;$&quot;#,##0.00_);[Red]\(&quot;$&quot;#,##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1679987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000000000000011" l="0.70000000000000007" r="0.70000000000000007" t="0.75000000000000011" header="0.30000000000000004" footer="0.30000000000000004"/>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Contract!$C$24</c:f>
              <c:strCache>
                <c:ptCount val="1"/>
                <c:pt idx="0">
                  <c:v>Contract Days</c:v>
                </c:pt>
              </c:strCache>
            </c:strRef>
          </c:tx>
          <c:spPr>
            <a:solidFill>
              <a:schemeClr val="accent1"/>
            </a:solidFill>
            <a:ln>
              <a:noFill/>
            </a:ln>
            <a:effectLst/>
          </c:spPr>
          <c:invertIfNegative val="0"/>
          <c:dPt>
            <c:idx val="3"/>
            <c:invertIfNegative val="0"/>
            <c:bubble3D val="0"/>
            <c:spPr>
              <a:solidFill>
                <a:srgbClr val="FFFF00"/>
              </a:solidFill>
              <a:ln>
                <a:noFill/>
              </a:ln>
              <a:effectLst/>
            </c:spPr>
            <c:extLst>
              <c:ext xmlns:c16="http://schemas.microsoft.com/office/drawing/2014/chart" uri="{C3380CC4-5D6E-409C-BE32-E72D297353CC}">
                <c16:uniqueId val="{00000003-CBD4-478B-804E-FB9E44AE825A}"/>
              </c:ext>
            </c:extLst>
          </c:dPt>
          <c:cat>
            <c:strRef>
              <c:f>Contract!$B$25:$B$38</c:f>
              <c:strCache>
                <c:ptCount val="13"/>
                <c:pt idx="0">
                  <c:v>Copper Mountain 2018-2019</c:v>
                </c:pt>
                <c:pt idx="1">
                  <c:v>Lake Tahoe 2018-2019</c:v>
                </c:pt>
                <c:pt idx="2">
                  <c:v>Lassen 2018-2019</c:v>
                </c:pt>
                <c:pt idx="3">
                  <c:v>Palo Verde 2018-2019</c:v>
                </c:pt>
                <c:pt idx="4">
                  <c:v>San Bernardino 2018-2019</c:v>
                </c:pt>
                <c:pt idx="5">
                  <c:v>Barstow 2018-2019</c:v>
                </c:pt>
                <c:pt idx="6">
                  <c:v>Mt. San Jacinto 2017-2018</c:v>
                </c:pt>
                <c:pt idx="7">
                  <c:v>Riverside 2018-2019</c:v>
                </c:pt>
                <c:pt idx="8">
                  <c:v>Desert 2018-2019</c:v>
                </c:pt>
                <c:pt idx="9">
                  <c:v>Feather River 2018-2019</c:v>
                </c:pt>
                <c:pt idx="10">
                  <c:v>Kern CCD 2018-2019 </c:v>
                </c:pt>
                <c:pt idx="11">
                  <c:v>Mendocino 2018-2019</c:v>
                </c:pt>
                <c:pt idx="12">
                  <c:v>Siskiyous 2016-2017</c:v>
                </c:pt>
              </c:strCache>
            </c:strRef>
          </c:cat>
          <c:val>
            <c:numRef>
              <c:f>Contract!$C$25:$C$38</c:f>
              <c:numCache>
                <c:formatCode>General</c:formatCode>
                <c:ptCount val="14"/>
                <c:pt idx="0">
                  <c:v>177</c:v>
                </c:pt>
                <c:pt idx="1">
                  <c:v>177</c:v>
                </c:pt>
                <c:pt idx="2">
                  <c:v>177</c:v>
                </c:pt>
                <c:pt idx="3">
                  <c:v>177</c:v>
                </c:pt>
                <c:pt idx="4">
                  <c:v>177</c:v>
                </c:pt>
                <c:pt idx="5">
                  <c:v>176</c:v>
                </c:pt>
                <c:pt idx="6">
                  <c:v>176</c:v>
                </c:pt>
                <c:pt idx="7">
                  <c:v>176</c:v>
                </c:pt>
                <c:pt idx="8">
                  <c:v>175</c:v>
                </c:pt>
                <c:pt idx="9">
                  <c:v>175</c:v>
                </c:pt>
                <c:pt idx="10">
                  <c:v>175</c:v>
                </c:pt>
                <c:pt idx="11">
                  <c:v>175</c:v>
                </c:pt>
                <c:pt idx="12">
                  <c:v>175</c:v>
                </c:pt>
              </c:numCache>
            </c:numRef>
          </c:val>
          <c:extLst>
            <c:ext xmlns:c16="http://schemas.microsoft.com/office/drawing/2014/chart" uri="{C3380CC4-5D6E-409C-BE32-E72D297353CC}">
              <c16:uniqueId val="{0000000E-CBD4-478B-804E-FB9E44AE825A}"/>
            </c:ext>
          </c:extLst>
        </c:ser>
        <c:dLbls>
          <c:showLegendKey val="0"/>
          <c:showVal val="0"/>
          <c:showCatName val="0"/>
          <c:showSerName val="0"/>
          <c:showPercent val="0"/>
          <c:showBubbleSize val="0"/>
        </c:dLbls>
        <c:gapWidth val="219"/>
        <c:overlap val="-27"/>
        <c:axId val="616801440"/>
        <c:axId val="616800656"/>
      </c:barChart>
      <c:catAx>
        <c:axId val="6168014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16800656"/>
        <c:crosses val="autoZero"/>
        <c:auto val="1"/>
        <c:lblAlgn val="ctr"/>
        <c:lblOffset val="100"/>
        <c:noMultiLvlLbl val="0"/>
      </c:catAx>
      <c:valAx>
        <c:axId val="616800656"/>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1680144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000000000000011" l="0.70000000000000007" r="0.70000000000000007" t="0.75000000000000011" header="0.30000000000000004" footer="0.30000000000000004"/>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'Daily Rate'!$C$1</c:f>
              <c:strCache>
                <c:ptCount val="1"/>
                <c:pt idx="0">
                  <c:v>Daily Rate*</c:v>
                </c:pt>
              </c:strCache>
            </c:strRef>
          </c:tx>
          <c:spPr>
            <a:solidFill>
              <a:schemeClr val="accent1"/>
            </a:solidFill>
            <a:ln>
              <a:noFill/>
            </a:ln>
            <a:effectLst/>
          </c:spPr>
          <c:invertIfNegative val="0"/>
          <c:dPt>
            <c:idx val="7"/>
            <c:invertIfNegative val="0"/>
            <c:bubble3D val="0"/>
            <c:spPr>
              <a:solidFill>
                <a:srgbClr val="FFFF00"/>
              </a:solidFill>
              <a:ln>
                <a:noFill/>
              </a:ln>
              <a:effectLst/>
            </c:spPr>
            <c:extLst>
              <c:ext xmlns:c16="http://schemas.microsoft.com/office/drawing/2014/chart" uri="{C3380CC4-5D6E-409C-BE32-E72D297353CC}">
                <c16:uniqueId val="{00000009-CBD4-478B-804E-FB9E44AE825A}"/>
              </c:ext>
            </c:extLst>
          </c:dPt>
          <c:dPt>
            <c:idx val="20"/>
            <c:invertIfNegative val="0"/>
            <c:bubble3D val="0"/>
            <c:spPr>
              <a:solidFill>
                <a:srgbClr val="FFFF00"/>
              </a:solidFill>
              <a:ln>
                <a:noFill/>
              </a:ln>
              <a:effectLst/>
            </c:spPr>
            <c:extLst>
              <c:ext xmlns:c16="http://schemas.microsoft.com/office/drawing/2014/chart" uri="{C3380CC4-5D6E-409C-BE32-E72D297353CC}">
                <c16:uniqueId val="{00000003-14CC-4905-865B-0F58E3649513}"/>
              </c:ext>
            </c:extLst>
          </c:dPt>
          <c:cat>
            <c:strRef>
              <c:f>'Daily Rate'!$B$2:$B$27</c:f>
              <c:strCache>
                <c:ptCount val="26"/>
                <c:pt idx="0">
                  <c:v>Mt. San Jacinto 2017-2018 High</c:v>
                </c:pt>
                <c:pt idx="1">
                  <c:v>Riverside 2018-2019 High </c:v>
                </c:pt>
                <c:pt idx="2">
                  <c:v>Kern CCD 2018-2019 High</c:v>
                </c:pt>
                <c:pt idx="3">
                  <c:v>Desert 2018-2019 High</c:v>
                </c:pt>
                <c:pt idx="4">
                  <c:v>San Bernardino 2018-2019 High</c:v>
                </c:pt>
                <c:pt idx="5">
                  <c:v>Barstow 2018-2019 High</c:v>
                </c:pt>
                <c:pt idx="6">
                  <c:v>Mendocino 2018-2019 High</c:v>
                </c:pt>
                <c:pt idx="7">
                  <c:v>Palo Verde 2018-2019 High</c:v>
                </c:pt>
                <c:pt idx="8">
                  <c:v>Lake Tahoe 2018-2019 High</c:v>
                </c:pt>
                <c:pt idx="9">
                  <c:v>Copper Mountain 2018-2019 High</c:v>
                </c:pt>
                <c:pt idx="10">
                  <c:v>Feather River 2018-2019 High</c:v>
                </c:pt>
                <c:pt idx="11">
                  <c:v>Siskiyous 2016-2017 High</c:v>
                </c:pt>
                <c:pt idx="12">
                  <c:v>Lassen 2018-2019 High</c:v>
                </c:pt>
                <c:pt idx="13">
                  <c:v>Kern CCD 2018-2019 Low</c:v>
                </c:pt>
                <c:pt idx="14">
                  <c:v>Desert 2018-2019 Low</c:v>
                </c:pt>
                <c:pt idx="15">
                  <c:v>Riverside 2018-2019 Low</c:v>
                </c:pt>
                <c:pt idx="16">
                  <c:v>Lassen 2018-2019 Low</c:v>
                </c:pt>
                <c:pt idx="17">
                  <c:v>Mendocino 2018-2019 Low</c:v>
                </c:pt>
                <c:pt idx="18">
                  <c:v>Feather River 2018-2019 Low</c:v>
                </c:pt>
                <c:pt idx="19">
                  <c:v>San Bernardino 2018-2019 Low</c:v>
                </c:pt>
                <c:pt idx="20">
                  <c:v>Palo Verde 2018-2019 Low</c:v>
                </c:pt>
                <c:pt idx="21">
                  <c:v>Barstow 2018-2019 Low</c:v>
                </c:pt>
                <c:pt idx="22">
                  <c:v>Siskiyous 2016-2016 Low</c:v>
                </c:pt>
                <c:pt idx="23">
                  <c:v>Lake Tahoe 2018-2019 Low</c:v>
                </c:pt>
                <c:pt idx="24">
                  <c:v>Mt. San Jacinto 2017-2018 Low</c:v>
                </c:pt>
                <c:pt idx="25">
                  <c:v>Copper Mountain 2018-2019 Low</c:v>
                </c:pt>
              </c:strCache>
            </c:strRef>
          </c:cat>
          <c:val>
            <c:numRef>
              <c:f>'Daily Rate'!$C$2:$C$27</c:f>
              <c:numCache>
                <c:formatCode>_("$"* #,##0.00_);_("$"* \(#,##0.00\);_("$"* "-"??_);_(@_)</c:formatCode>
                <c:ptCount val="26"/>
                <c:pt idx="0">
                  <c:v>747.56079545454554</c:v>
                </c:pt>
                <c:pt idx="1">
                  <c:v>733.91477272727275</c:v>
                </c:pt>
                <c:pt idx="2">
                  <c:v>729.6378285714286</c:v>
                </c:pt>
                <c:pt idx="3">
                  <c:v>709.21199999999999</c:v>
                </c:pt>
                <c:pt idx="4">
                  <c:v>685.74711864406788</c:v>
                </c:pt>
                <c:pt idx="5">
                  <c:v>654.80113636363637</c:v>
                </c:pt>
                <c:pt idx="6">
                  <c:v>611.4228571428572</c:v>
                </c:pt>
                <c:pt idx="7">
                  <c:v>606.99435028248593</c:v>
                </c:pt>
                <c:pt idx="8">
                  <c:v>604.15819209039546</c:v>
                </c:pt>
                <c:pt idx="9">
                  <c:v>600.27386363636367</c:v>
                </c:pt>
                <c:pt idx="10">
                  <c:v>570.63428571428574</c:v>
                </c:pt>
                <c:pt idx="11">
                  <c:v>563.72542857142855</c:v>
                </c:pt>
                <c:pt idx="12">
                  <c:v>543.91271186440679</c:v>
                </c:pt>
                <c:pt idx="13">
                  <c:v>393.55017142857145</c:v>
                </c:pt>
                <c:pt idx="14">
                  <c:v>349.52902857142857</c:v>
                </c:pt>
                <c:pt idx="15">
                  <c:v>342.18181818181819</c:v>
                </c:pt>
                <c:pt idx="16">
                  <c:v>331.9599435028249</c:v>
                </c:pt>
                <c:pt idx="17">
                  <c:v>322.93142857142857</c:v>
                </c:pt>
                <c:pt idx="18">
                  <c:v>317.0057142857143</c:v>
                </c:pt>
                <c:pt idx="19">
                  <c:v>316.40627118644068</c:v>
                </c:pt>
                <c:pt idx="20">
                  <c:v>313.51977401129943</c:v>
                </c:pt>
                <c:pt idx="21">
                  <c:v>312.36931818181819</c:v>
                </c:pt>
                <c:pt idx="22">
                  <c:v>302.08811428571425</c:v>
                </c:pt>
                <c:pt idx="23">
                  <c:v>288.20903954802259</c:v>
                </c:pt>
                <c:pt idx="24">
                  <c:v>275.81017045454541</c:v>
                </c:pt>
                <c:pt idx="25">
                  <c:v>272.21011363636364</c:v>
                </c:pt>
              </c:numCache>
            </c:numRef>
          </c:val>
          <c:extLst>
            <c:ext xmlns:c16="http://schemas.microsoft.com/office/drawing/2014/chart" uri="{C3380CC4-5D6E-409C-BE32-E72D297353CC}">
              <c16:uniqueId val="{0000000E-CBD4-478B-804E-FB9E44AE825A}"/>
            </c:ext>
          </c:extLst>
        </c:ser>
        <c:dLbls>
          <c:showLegendKey val="0"/>
          <c:showVal val="0"/>
          <c:showCatName val="0"/>
          <c:showSerName val="0"/>
          <c:showPercent val="0"/>
          <c:showBubbleSize val="0"/>
        </c:dLbls>
        <c:gapWidth val="219"/>
        <c:overlap val="-27"/>
        <c:axId val="616802616"/>
        <c:axId val="616801832"/>
      </c:barChart>
      <c:catAx>
        <c:axId val="6168026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16801832"/>
        <c:crosses val="autoZero"/>
        <c:auto val="1"/>
        <c:lblAlgn val="ctr"/>
        <c:lblOffset val="100"/>
        <c:noMultiLvlLbl val="0"/>
      </c:catAx>
      <c:valAx>
        <c:axId val="616801832"/>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_(&quot;$&quot;* #,##0.00_);_(&quot;$&quot;* \(#,##0.0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1680261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000000000000011" l="0.70000000000000007" r="0.70000000000000007" t="0.75000000000000011" header="0.30000000000000004" footer="0.30000000000000004"/>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'Lab Rate'!$C$1</c:f>
              <c:strCache>
                <c:ptCount val="1"/>
                <c:pt idx="0">
                  <c:v>Lab Rate</c:v>
                </c:pt>
              </c:strCache>
            </c:strRef>
          </c:tx>
          <c:spPr>
            <a:solidFill>
              <a:schemeClr val="accent1"/>
            </a:solidFill>
            <a:ln>
              <a:noFill/>
            </a:ln>
            <a:effectLst/>
          </c:spPr>
          <c:invertIfNegative val="0"/>
          <c:dPt>
            <c:idx val="12"/>
            <c:invertIfNegative val="0"/>
            <c:bubble3D val="0"/>
            <c:spPr>
              <a:solidFill>
                <a:srgbClr val="FFFF00"/>
              </a:solidFill>
              <a:ln>
                <a:noFill/>
              </a:ln>
              <a:effectLst/>
            </c:spPr>
            <c:extLst>
              <c:ext xmlns:c16="http://schemas.microsoft.com/office/drawing/2014/chart" uri="{C3380CC4-5D6E-409C-BE32-E72D297353CC}">
                <c16:uniqueId val="{00000001-B915-44EF-82BD-A06003CE6D6F}"/>
              </c:ext>
            </c:extLst>
          </c:dPt>
          <c:cat>
            <c:strRef>
              <c:f>'Lab Rate'!$B$2:$B$14</c:f>
              <c:strCache>
                <c:ptCount val="13"/>
                <c:pt idx="0">
                  <c:v>Barstow 2018-2019</c:v>
                </c:pt>
                <c:pt idx="1">
                  <c:v>Kern CCD 2018-2019 </c:v>
                </c:pt>
                <c:pt idx="2">
                  <c:v>Lake Tahoe 2018-2019</c:v>
                </c:pt>
                <c:pt idx="3">
                  <c:v>Feather River 2018-2019*</c:v>
                </c:pt>
                <c:pt idx="4">
                  <c:v>Riverside 2018-2019*</c:v>
                </c:pt>
                <c:pt idx="5">
                  <c:v>Lassen 2018-2019</c:v>
                </c:pt>
                <c:pt idx="6">
                  <c:v>Mt. San Jacinto 2017-2018</c:v>
                </c:pt>
                <c:pt idx="7">
                  <c:v>Mendocino 2018-2019</c:v>
                </c:pt>
                <c:pt idx="8">
                  <c:v>San Bernardino 2018-2019</c:v>
                </c:pt>
                <c:pt idx="9">
                  <c:v>Siskiyous 2016-2017*</c:v>
                </c:pt>
                <c:pt idx="10">
                  <c:v>Copper Mountain 2018-2019</c:v>
                </c:pt>
                <c:pt idx="11">
                  <c:v>Desert 2018-2019</c:v>
                </c:pt>
                <c:pt idx="12">
                  <c:v>Palo Verde 2018-2019</c:v>
                </c:pt>
              </c:strCache>
            </c:strRef>
          </c:cat>
          <c:val>
            <c:numRef>
              <c:f>'Lab Rate'!$C$2:$C$14</c:f>
              <c:numCache>
                <c:formatCode>0.000</c:formatCode>
                <c:ptCount val="13"/>
                <c:pt idx="0">
                  <c:v>1</c:v>
                </c:pt>
                <c:pt idx="1">
                  <c:v>1</c:v>
                </c:pt>
                <c:pt idx="2">
                  <c:v>1</c:v>
                </c:pt>
                <c:pt idx="3">
                  <c:v>0.85</c:v>
                </c:pt>
                <c:pt idx="4">
                  <c:v>0.75075075075075071</c:v>
                </c:pt>
                <c:pt idx="5">
                  <c:v>0.75</c:v>
                </c:pt>
                <c:pt idx="6">
                  <c:v>0.75</c:v>
                </c:pt>
                <c:pt idx="7">
                  <c:v>0.75</c:v>
                </c:pt>
                <c:pt idx="8">
                  <c:v>0.7142857142857143</c:v>
                </c:pt>
                <c:pt idx="9">
                  <c:v>0.7</c:v>
                </c:pt>
                <c:pt idx="10">
                  <c:v>0.66700000000000004</c:v>
                </c:pt>
                <c:pt idx="11">
                  <c:v>0.66700000000000004</c:v>
                </c:pt>
                <c:pt idx="12">
                  <c:v>0.66600000000000004</c:v>
                </c:pt>
              </c:numCache>
            </c:numRef>
          </c:val>
          <c:extLst>
            <c:ext xmlns:c16="http://schemas.microsoft.com/office/drawing/2014/chart" uri="{C3380CC4-5D6E-409C-BE32-E72D297353CC}">
              <c16:uniqueId val="{0000000E-CBD4-478B-804E-FB9E44AE825A}"/>
            </c:ext>
          </c:extLst>
        </c:ser>
        <c:dLbls>
          <c:showLegendKey val="0"/>
          <c:showVal val="0"/>
          <c:showCatName val="0"/>
          <c:showSerName val="0"/>
          <c:showPercent val="0"/>
          <c:showBubbleSize val="0"/>
        </c:dLbls>
        <c:gapWidth val="219"/>
        <c:overlap val="-27"/>
        <c:axId val="616809672"/>
        <c:axId val="616808888"/>
      </c:barChart>
      <c:catAx>
        <c:axId val="6168096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16808888"/>
        <c:crosses val="autoZero"/>
        <c:auto val="1"/>
        <c:lblAlgn val="ctr"/>
        <c:lblOffset val="100"/>
        <c:noMultiLvlLbl val="0"/>
      </c:catAx>
      <c:valAx>
        <c:axId val="616808888"/>
        <c:scaling>
          <c:orientation val="minMax"/>
          <c:max val="1"/>
          <c:min val="0"/>
        </c:scaling>
        <c:delete val="0"/>
        <c:axPos val="l"/>
        <c:majorGridlines>
          <c:spPr>
            <a:ln w="9525" cap="flat" cmpd="sng" algn="ctr">
              <a:solidFill>
                <a:schemeClr val="tx1">
                  <a:lumMod val="15000"/>
                  <a:lumOff val="85000"/>
                </a:schemeClr>
              </a:solidFill>
              <a:round/>
            </a:ln>
            <a:effectLst/>
          </c:spPr>
        </c:majorGridlines>
        <c:numFmt formatCode="0.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1680967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000000000000011" l="0.70000000000000007" r="0.70000000000000007" t="0.75000000000000011" header="0.30000000000000004" footer="0.30000000000000004"/>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Faculty</a:t>
            </a:r>
            <a:r>
              <a:rPr lang="en-US" baseline="0"/>
              <a:t> </a:t>
            </a:r>
            <a:r>
              <a:rPr lang="en-US"/>
              <a:t>Annual Release Time*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'Release Time'!$C$20</c:f>
              <c:strCache>
                <c:ptCount val="1"/>
                <c:pt idx="0">
                  <c:v>Annual Release Time*</c:v>
                </c:pt>
              </c:strCache>
            </c:strRef>
          </c:tx>
          <c:spPr>
            <a:solidFill>
              <a:schemeClr val="accent1"/>
            </a:solidFill>
            <a:ln>
              <a:noFill/>
            </a:ln>
            <a:effectLst/>
          </c:spPr>
          <c:invertIfNegative val="0"/>
          <c:dPt>
            <c:idx val="5"/>
            <c:invertIfNegative val="0"/>
            <c:bubble3D val="0"/>
            <c:spPr>
              <a:solidFill>
                <a:srgbClr val="FF0000"/>
              </a:solidFill>
              <a:ln>
                <a:noFill/>
              </a:ln>
              <a:effectLst/>
            </c:spPr>
            <c:extLst>
              <c:ext xmlns:c16="http://schemas.microsoft.com/office/drawing/2014/chart" uri="{C3380CC4-5D6E-409C-BE32-E72D297353CC}">
                <c16:uniqueId val="{00000001-6001-4E97-907D-BFAD2BE95699}"/>
              </c:ext>
            </c:extLst>
          </c:dPt>
          <c:cat>
            <c:strRef>
              <c:f>'Release Time'!$B$21:$B$28</c:f>
              <c:strCache>
                <c:ptCount val="8"/>
                <c:pt idx="0">
                  <c:v>Riverside 2018-2019</c:v>
                </c:pt>
                <c:pt idx="1">
                  <c:v>Kern CCD 2018-2019 </c:v>
                </c:pt>
                <c:pt idx="2">
                  <c:v>San Bernardino 2018-2019</c:v>
                </c:pt>
                <c:pt idx="3">
                  <c:v>Desert 2018-2019</c:v>
                </c:pt>
                <c:pt idx="4">
                  <c:v>Mt. San Jacinto 2017-2018</c:v>
                </c:pt>
                <c:pt idx="5">
                  <c:v>Palo Verde 2018-2019</c:v>
                </c:pt>
                <c:pt idx="6">
                  <c:v>Siskiyous 2016-2017</c:v>
                </c:pt>
                <c:pt idx="7">
                  <c:v>Feather River 2018-2019</c:v>
                </c:pt>
              </c:strCache>
            </c:strRef>
          </c:cat>
          <c:val>
            <c:numRef>
              <c:f>'Release Time'!$C$21:$C$28</c:f>
              <c:numCache>
                <c:formatCode>0.000</c:formatCode>
                <c:ptCount val="8"/>
                <c:pt idx="0">
                  <c:v>2.9</c:v>
                </c:pt>
                <c:pt idx="1">
                  <c:v>2</c:v>
                </c:pt>
                <c:pt idx="2">
                  <c:v>2</c:v>
                </c:pt>
                <c:pt idx="3">
                  <c:v>1.6</c:v>
                </c:pt>
                <c:pt idx="4">
                  <c:v>1</c:v>
                </c:pt>
                <c:pt idx="5">
                  <c:v>0.5</c:v>
                </c:pt>
                <c:pt idx="6">
                  <c:v>0.4</c:v>
                </c:pt>
                <c:pt idx="7">
                  <c:v>0.2</c:v>
                </c:pt>
              </c:numCache>
            </c:numRef>
          </c:val>
          <c:extLst>
            <c:ext xmlns:c16="http://schemas.microsoft.com/office/drawing/2014/chart" uri="{C3380CC4-5D6E-409C-BE32-E72D297353CC}">
              <c16:uniqueId val="{00000000-6001-4E97-907D-BFAD2BE95699}"/>
            </c:ext>
          </c:extLst>
        </c:ser>
        <c:dLbls>
          <c:showLegendKey val="0"/>
          <c:showVal val="0"/>
          <c:showCatName val="0"/>
          <c:showSerName val="0"/>
          <c:showPercent val="0"/>
          <c:showBubbleSize val="0"/>
        </c:dLbls>
        <c:gapWidth val="219"/>
        <c:overlap val="-27"/>
        <c:axId val="616797520"/>
        <c:axId val="616797912"/>
      </c:barChart>
      <c:catAx>
        <c:axId val="6167975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16797912"/>
        <c:crosses val="autoZero"/>
        <c:auto val="1"/>
        <c:lblAlgn val="ctr"/>
        <c:lblOffset val="100"/>
        <c:noMultiLvlLbl val="0"/>
      </c:catAx>
      <c:valAx>
        <c:axId val="616797912"/>
        <c:scaling>
          <c:orientation val="minMax"/>
        </c:scaling>
        <c:delete val="0"/>
        <c:axPos val="l"/>
        <c:majorGridlines>
          <c:spPr>
            <a:ln w="9525" cap="flat" cmpd="sng" algn="ctr">
              <a:solidFill>
                <a:schemeClr val="tx1">
                  <a:lumMod val="15000"/>
                  <a:lumOff val="85000"/>
                </a:schemeClr>
              </a:solidFill>
              <a:round/>
            </a:ln>
            <a:effectLst/>
          </c:spPr>
        </c:majorGridlines>
        <c:numFmt formatCode="0.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1679752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Faculty Daily Rate*</a:t>
            </a:r>
          </a:p>
        </c:rich>
      </c:tx>
      <c:overlay val="0"/>
      <c:spPr>
        <a:noFill/>
        <a:ln>
          <a:noFill/>
        </a:ln>
        <a:effectLst/>
      </c:spPr>
    </c:title>
    <c:autoTitleDeleted val="0"/>
    <c:plotArea>
      <c:layout/>
      <c:barChart>
        <c:barDir val="col"/>
        <c:grouping val="clustered"/>
        <c:varyColors val="0"/>
        <c:ser>
          <c:idx val="0"/>
          <c:order val="0"/>
          <c:tx>
            <c:strRef>
              <c:f>'PVC Daily Rate'!$C$2</c:f>
              <c:strCache>
                <c:ptCount val="1"/>
                <c:pt idx="0">
                  <c:v>Daily Rate*</c:v>
                </c:pt>
              </c:strCache>
            </c:strRef>
          </c:tx>
          <c:spPr>
            <a:solidFill>
              <a:schemeClr val="accent1"/>
            </a:solidFill>
            <a:ln>
              <a:noFill/>
            </a:ln>
            <a:effectLst/>
          </c:spPr>
          <c:invertIfNegative val="0"/>
          <c:dPt>
            <c:idx val="3"/>
            <c:invertIfNegative val="0"/>
            <c:bubble3D val="0"/>
            <c:spPr>
              <a:solidFill>
                <a:srgbClr val="FFFF00"/>
              </a:solidFill>
              <a:ln>
                <a:noFill/>
              </a:ln>
              <a:effectLst/>
            </c:spPr>
            <c:extLst>
              <c:ext xmlns:c16="http://schemas.microsoft.com/office/drawing/2014/chart" uri="{C3380CC4-5D6E-409C-BE32-E72D297353CC}">
                <c16:uniqueId val="{00000001-A3BE-43B6-A248-30BC0EBEF864}"/>
              </c:ext>
            </c:extLst>
          </c:dPt>
          <c:dPt>
            <c:idx val="10"/>
            <c:invertIfNegative val="0"/>
            <c:bubble3D val="0"/>
            <c:spPr>
              <a:solidFill>
                <a:srgbClr val="FFFF00"/>
              </a:solidFill>
              <a:ln>
                <a:noFill/>
              </a:ln>
              <a:effectLst/>
            </c:spPr>
            <c:extLst>
              <c:ext xmlns:c16="http://schemas.microsoft.com/office/drawing/2014/chart" uri="{C3380CC4-5D6E-409C-BE32-E72D297353CC}">
                <c16:uniqueId val="{00000003-A3BE-43B6-A248-30BC0EBEF864}"/>
              </c:ext>
            </c:extLst>
          </c:dPt>
          <c:cat>
            <c:strRef>
              <c:f>'PVC Daily Rate'!$B$3:$B$18</c:f>
              <c:strCache>
                <c:ptCount val="16"/>
                <c:pt idx="0">
                  <c:v>AMC, Row 16, Step 12</c:v>
                </c:pt>
                <c:pt idx="1">
                  <c:v>PVC Comp Study Admin. High</c:v>
                </c:pt>
                <c:pt idx="2">
                  <c:v>AMC, Row 12, Step 12</c:v>
                </c:pt>
                <c:pt idx="3">
                  <c:v>PVC Faculty 2018-2019 High</c:v>
                </c:pt>
                <c:pt idx="4">
                  <c:v>AMC, Row 8, Step 12</c:v>
                </c:pt>
                <c:pt idx="5">
                  <c:v>PVC Comp Study Director High</c:v>
                </c:pt>
                <c:pt idx="6">
                  <c:v>AMC, Row 16, Step 1</c:v>
                </c:pt>
                <c:pt idx="7">
                  <c:v>AMC, Row 5, Step 12</c:v>
                </c:pt>
                <c:pt idx="8">
                  <c:v>AMC, Row 12, Step 1</c:v>
                </c:pt>
                <c:pt idx="9">
                  <c:v>AMC, Row 1, Step 12</c:v>
                </c:pt>
                <c:pt idx="10">
                  <c:v>PVC Faculty 2018-2019 Low</c:v>
                </c:pt>
                <c:pt idx="11">
                  <c:v>PVC Comp Study Admin. Low</c:v>
                </c:pt>
                <c:pt idx="12">
                  <c:v>AMC, Row 8, Step 1</c:v>
                </c:pt>
                <c:pt idx="13">
                  <c:v>PVC Comp Study Director Low</c:v>
                </c:pt>
                <c:pt idx="14">
                  <c:v>AMC, Row 5, Step 1</c:v>
                </c:pt>
                <c:pt idx="15">
                  <c:v>AMC, Row 1, Step1</c:v>
                </c:pt>
              </c:strCache>
            </c:strRef>
          </c:cat>
          <c:val>
            <c:numRef>
              <c:f>'PVC Daily Rate'!$C$3:$C$18</c:f>
              <c:numCache>
                <c:formatCode>_("$"* #,##0.00_);_("$"* \(#,##0.00\);_("$"* "-"??_);_(@_)</c:formatCode>
                <c:ptCount val="16"/>
                <c:pt idx="0">
                  <c:v>739.73599999999999</c:v>
                </c:pt>
                <c:pt idx="1">
                  <c:v>704.51199999999994</c:v>
                </c:pt>
                <c:pt idx="2">
                  <c:v>608.58399999999995</c:v>
                </c:pt>
                <c:pt idx="3">
                  <c:v>606.99435028248593</c:v>
                </c:pt>
                <c:pt idx="4">
                  <c:v>500.68400000000003</c:v>
                </c:pt>
                <c:pt idx="5">
                  <c:v>500.68400000000003</c:v>
                </c:pt>
                <c:pt idx="6">
                  <c:v>432.50799999999998</c:v>
                </c:pt>
                <c:pt idx="7">
                  <c:v>432.50799999999998</c:v>
                </c:pt>
                <c:pt idx="8">
                  <c:v>355.82400000000001</c:v>
                </c:pt>
                <c:pt idx="9">
                  <c:v>355.82400000000001</c:v>
                </c:pt>
                <c:pt idx="10">
                  <c:v>313.51977401129943</c:v>
                </c:pt>
                <c:pt idx="11">
                  <c:v>307.37599999999998</c:v>
                </c:pt>
                <c:pt idx="12">
                  <c:v>292.74</c:v>
                </c:pt>
                <c:pt idx="13">
                  <c:v>278.8</c:v>
                </c:pt>
                <c:pt idx="14">
                  <c:v>252.88</c:v>
                </c:pt>
                <c:pt idx="15">
                  <c:v>208.04400000000001</c:v>
                </c:pt>
              </c:numCache>
            </c:numRef>
          </c:val>
          <c:extLst>
            <c:ext xmlns:c16="http://schemas.microsoft.com/office/drawing/2014/chart" uri="{C3380CC4-5D6E-409C-BE32-E72D297353CC}">
              <c16:uniqueId val="{0000000E-CBD4-478B-804E-FB9E44AE825A}"/>
            </c:ext>
          </c:extLst>
        </c:ser>
        <c:dLbls>
          <c:showLegendKey val="0"/>
          <c:showVal val="0"/>
          <c:showCatName val="0"/>
          <c:showSerName val="0"/>
          <c:showPercent val="0"/>
          <c:showBubbleSize val="0"/>
        </c:dLbls>
        <c:gapWidth val="219"/>
        <c:overlap val="-27"/>
        <c:axId val="616798696"/>
        <c:axId val="616799088"/>
      </c:barChart>
      <c:catAx>
        <c:axId val="6167986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16799088"/>
        <c:crosses val="autoZero"/>
        <c:auto val="1"/>
        <c:lblAlgn val="ctr"/>
        <c:lblOffset val="100"/>
        <c:noMultiLvlLbl val="0"/>
      </c:catAx>
      <c:valAx>
        <c:axId val="616799088"/>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_(&quot;$&quot;* #,##0.00_);_(&quot;$&quot;* \(#,##0.0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1679869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000000000000011" l="0.70000000000000007" r="0.70000000000000007" t="0.75000000000000011" header="0.30000000000000004" footer="0.30000000000000004"/>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a:t> Faculty Low Salary </a:t>
            </a:r>
          </a:p>
        </c:rich>
      </c:tx>
      <c:layout>
        <c:manualLayout>
          <c:xMode val="edge"/>
          <c:yMode val="edge"/>
          <c:x val="0.42929903933157493"/>
          <c:y val="2.132196162046909E-2"/>
        </c:manualLayout>
      </c:layout>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n-US"/>
        </a:p>
      </c:txPr>
    </c:title>
    <c:autoTitleDeleted val="0"/>
    <c:plotArea>
      <c:layout/>
      <c:barChart>
        <c:barDir val="col"/>
        <c:grouping val="clustered"/>
        <c:varyColors val="0"/>
        <c:ser>
          <c:idx val="0"/>
          <c:order val="0"/>
          <c:tx>
            <c:strRef>
              <c:f>'Salary Low'!$C$24</c:f>
              <c:strCache>
                <c:ptCount val="1"/>
                <c:pt idx="0">
                  <c:v>Low Salary</c:v>
                </c:pt>
              </c:strCache>
            </c:strRef>
          </c:tx>
          <c:spPr>
            <a:solidFill>
              <a:schemeClr val="tx2"/>
            </a:solidFill>
            <a:ln w="9525" cap="flat" cmpd="sng" algn="ctr">
              <a:solidFill>
                <a:schemeClr val="tx2">
                  <a:alpha val="50000"/>
                </a:schemeClr>
              </a:solidFill>
              <a:round/>
            </a:ln>
            <a:effectLst/>
          </c:spPr>
          <c:invertIfNegative val="0"/>
          <c:dPt>
            <c:idx val="0"/>
            <c:invertIfNegative val="0"/>
            <c:bubble3D val="0"/>
            <c:extLst>
              <c:ext xmlns:c16="http://schemas.microsoft.com/office/drawing/2014/chart" uri="{C3380CC4-5D6E-409C-BE32-E72D297353CC}">
                <c16:uniqueId val="{00000004-CF10-44DA-AC7E-9EE3D07799F6}"/>
              </c:ext>
            </c:extLst>
          </c:dPt>
          <c:dPt>
            <c:idx val="1"/>
            <c:invertIfNegative val="0"/>
            <c:bubble3D val="0"/>
            <c:spPr>
              <a:solidFill>
                <a:schemeClr val="tx2"/>
              </a:solidFill>
              <a:ln w="9525" cap="flat" cmpd="sng" algn="ctr">
                <a:solidFill>
                  <a:schemeClr val="tx2">
                    <a:alpha val="50000"/>
                  </a:schemeClr>
                </a:solidFill>
                <a:round/>
              </a:ln>
              <a:effectLst/>
            </c:spPr>
            <c:extLst>
              <c:ext xmlns:c16="http://schemas.microsoft.com/office/drawing/2014/chart" uri="{C3380CC4-5D6E-409C-BE32-E72D297353CC}">
                <c16:uniqueId val="{00000003-42EE-407A-8C02-15A67AAC79B0}"/>
              </c:ext>
            </c:extLst>
          </c:dPt>
          <c:dPt>
            <c:idx val="2"/>
            <c:invertIfNegative val="0"/>
            <c:bubble3D val="0"/>
            <c:spPr>
              <a:solidFill>
                <a:schemeClr val="tx2"/>
              </a:solidFill>
              <a:ln w="9525" cap="flat" cmpd="sng" algn="ctr">
                <a:solidFill>
                  <a:schemeClr val="tx2">
                    <a:alpha val="50000"/>
                  </a:schemeClr>
                </a:solidFill>
                <a:round/>
              </a:ln>
              <a:effectLst/>
            </c:spPr>
            <c:extLst>
              <c:ext xmlns:c16="http://schemas.microsoft.com/office/drawing/2014/chart" uri="{C3380CC4-5D6E-409C-BE32-E72D297353CC}">
                <c16:uniqueId val="{0000000A-42EE-407A-8C02-15A67AAC79B0}"/>
              </c:ext>
            </c:extLst>
          </c:dPt>
          <c:dPt>
            <c:idx val="3"/>
            <c:invertIfNegative val="0"/>
            <c:bubble3D val="0"/>
            <c:spPr>
              <a:solidFill>
                <a:schemeClr val="accent6">
                  <a:lumMod val="40000"/>
                  <a:lumOff val="60000"/>
                </a:schemeClr>
              </a:solidFill>
              <a:ln w="9525" cap="flat" cmpd="sng" algn="ctr">
                <a:solidFill>
                  <a:schemeClr val="tx2">
                    <a:alpha val="50000"/>
                  </a:schemeClr>
                </a:solidFill>
                <a:round/>
              </a:ln>
              <a:effectLst/>
            </c:spPr>
            <c:extLst>
              <c:ext xmlns:c16="http://schemas.microsoft.com/office/drawing/2014/chart" uri="{C3380CC4-5D6E-409C-BE32-E72D297353CC}">
                <c16:uniqueId val="{00000005-42EE-407A-8C02-15A67AAC79B0}"/>
              </c:ext>
            </c:extLst>
          </c:dPt>
          <c:dPt>
            <c:idx val="4"/>
            <c:invertIfNegative val="0"/>
            <c:bubble3D val="0"/>
            <c:spPr>
              <a:solidFill>
                <a:schemeClr val="tx2"/>
              </a:solidFill>
              <a:ln w="9525" cap="flat" cmpd="sng" algn="ctr">
                <a:solidFill>
                  <a:schemeClr val="tx2">
                    <a:alpha val="50000"/>
                  </a:schemeClr>
                </a:solidFill>
                <a:round/>
              </a:ln>
              <a:effectLst/>
            </c:spPr>
            <c:extLst>
              <c:ext xmlns:c16="http://schemas.microsoft.com/office/drawing/2014/chart" uri="{C3380CC4-5D6E-409C-BE32-E72D297353CC}">
                <c16:uniqueId val="{00000001-7975-40A8-9819-25A12989D785}"/>
              </c:ext>
            </c:extLst>
          </c:dPt>
          <c:dPt>
            <c:idx val="5"/>
            <c:invertIfNegative val="0"/>
            <c:bubble3D val="0"/>
            <c:spPr>
              <a:solidFill>
                <a:srgbClr val="FFFF00"/>
              </a:solidFill>
              <a:ln w="9525" cap="flat" cmpd="sng" algn="ctr">
                <a:solidFill>
                  <a:schemeClr val="tx2">
                    <a:alpha val="50000"/>
                  </a:schemeClr>
                </a:solidFill>
                <a:round/>
              </a:ln>
              <a:effectLst/>
            </c:spPr>
            <c:extLst>
              <c:ext xmlns:c16="http://schemas.microsoft.com/office/drawing/2014/chart" uri="{C3380CC4-5D6E-409C-BE32-E72D297353CC}">
                <c16:uniqueId val="{0000000B-42EE-407A-8C02-15A67AAC79B0}"/>
              </c:ext>
            </c:extLst>
          </c:dPt>
          <c:dPt>
            <c:idx val="6"/>
            <c:invertIfNegative val="0"/>
            <c:bubble3D val="0"/>
            <c:spPr>
              <a:solidFill>
                <a:schemeClr val="tx2"/>
              </a:solidFill>
              <a:ln w="9525" cap="flat" cmpd="sng" algn="ctr">
                <a:solidFill>
                  <a:schemeClr val="tx2">
                    <a:alpha val="50000"/>
                  </a:schemeClr>
                </a:solidFill>
                <a:round/>
              </a:ln>
              <a:effectLst/>
            </c:spPr>
            <c:extLst>
              <c:ext xmlns:c16="http://schemas.microsoft.com/office/drawing/2014/chart" uri="{C3380CC4-5D6E-409C-BE32-E72D297353CC}">
                <c16:uniqueId val="{00000005-4774-4211-8612-7B77A14C757B}"/>
              </c:ext>
            </c:extLst>
          </c:dPt>
          <c:dPt>
            <c:idx val="7"/>
            <c:invertIfNegative val="0"/>
            <c:bubble3D val="0"/>
            <c:extLst>
              <c:ext xmlns:c16="http://schemas.microsoft.com/office/drawing/2014/chart" uri="{C3380CC4-5D6E-409C-BE32-E72D297353CC}">
                <c16:uniqueId val="{0000000A-F843-4F50-879E-8E4C6BCCE10E}"/>
              </c:ext>
            </c:extLst>
          </c:dPt>
          <c:dPt>
            <c:idx val="9"/>
            <c:invertIfNegative val="0"/>
            <c:bubble3D val="0"/>
            <c:spPr>
              <a:solidFill>
                <a:schemeClr val="tx2"/>
              </a:solidFill>
              <a:ln w="9525" cap="flat" cmpd="sng" algn="ctr">
                <a:solidFill>
                  <a:schemeClr val="tx2">
                    <a:alpha val="50000"/>
                  </a:schemeClr>
                </a:solidFill>
                <a:round/>
              </a:ln>
              <a:effectLst/>
            </c:spPr>
            <c:extLst>
              <c:ext xmlns:c16="http://schemas.microsoft.com/office/drawing/2014/chart" uri="{C3380CC4-5D6E-409C-BE32-E72D297353CC}">
                <c16:uniqueId val="{0000000E-D381-406A-99A2-935FFF5119B7}"/>
              </c:ext>
            </c:extLst>
          </c:dPt>
          <c:dPt>
            <c:idx val="10"/>
            <c:invertIfNegative val="0"/>
            <c:bubble3D val="0"/>
            <c:spPr>
              <a:solidFill>
                <a:schemeClr val="tx2"/>
              </a:solidFill>
              <a:ln w="9525" cap="flat" cmpd="sng" algn="ctr">
                <a:solidFill>
                  <a:schemeClr val="tx2">
                    <a:alpha val="50000"/>
                  </a:schemeClr>
                </a:solidFill>
                <a:round/>
              </a:ln>
              <a:effectLst/>
            </c:spPr>
            <c:extLst>
              <c:ext xmlns:c16="http://schemas.microsoft.com/office/drawing/2014/chart" uri="{C3380CC4-5D6E-409C-BE32-E72D297353CC}">
                <c16:uniqueId val="{0000000C-D373-4B89-BB55-2E5DF0305A1A}"/>
              </c:ext>
            </c:extLst>
          </c:dPt>
          <c:dPt>
            <c:idx val="11"/>
            <c:invertIfNegative val="0"/>
            <c:bubble3D val="0"/>
            <c:spPr>
              <a:solidFill>
                <a:schemeClr val="tx2"/>
              </a:solidFill>
              <a:ln w="9525" cap="flat" cmpd="sng" algn="ctr">
                <a:solidFill>
                  <a:schemeClr val="tx2">
                    <a:alpha val="50000"/>
                  </a:schemeClr>
                </a:solidFill>
                <a:round/>
              </a:ln>
              <a:effectLst/>
            </c:spPr>
            <c:extLst>
              <c:ext xmlns:c16="http://schemas.microsoft.com/office/drawing/2014/chart" uri="{C3380CC4-5D6E-409C-BE32-E72D297353CC}">
                <c16:uniqueId val="{0000000A-E8E5-4232-A467-B7BD908477B5}"/>
              </c:ext>
            </c:extLst>
          </c:dPt>
          <c:dLbls>
            <c:dLbl>
              <c:idx val="3"/>
              <c:spPr>
                <a:noFill/>
                <a:ln>
                  <a:noFill/>
                </a:ln>
                <a:effectLst/>
              </c:spPr>
              <c:txPr>
                <a:bodyPr rot="-5400000" spcFirstLastPara="1" vertOverflow="ellipsis" wrap="square" lIns="38100" tIns="19050" rIns="38100" bIns="19050" anchor="ctr" anchorCtr="1">
                  <a:spAutoFit/>
                </a:bodyPr>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dLblPos val="inEnd"/>
              <c:showLegendKey val="0"/>
              <c:showVal val="1"/>
              <c:showCatName val="0"/>
              <c:showSerName val="0"/>
              <c:showPercent val="0"/>
              <c:showBubbleSize val="0"/>
              <c:extLst>
                <c:ext xmlns:c16="http://schemas.microsoft.com/office/drawing/2014/chart" uri="{C3380CC4-5D6E-409C-BE32-E72D297353CC}">
                  <c16:uniqueId val="{00000005-42EE-407A-8C02-15A67AAC79B0}"/>
                </c:ext>
              </c:extLst>
            </c:dLbl>
            <c:dLbl>
              <c:idx val="5"/>
              <c:spPr>
                <a:noFill/>
                <a:ln>
                  <a:noFill/>
                </a:ln>
                <a:effectLst/>
              </c:spPr>
              <c:txPr>
                <a:bodyPr rot="-5400000" spcFirstLastPara="1" vertOverflow="ellipsis" wrap="square" lIns="38100" tIns="19050" rIns="38100" bIns="19050" anchor="ctr" anchorCtr="1">
                  <a:spAutoFit/>
                </a:bodyPr>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dLblPos val="inEnd"/>
              <c:showLegendKey val="0"/>
              <c:showVal val="1"/>
              <c:showCatName val="0"/>
              <c:showSerName val="0"/>
              <c:showPercent val="0"/>
              <c:showBubbleSize val="0"/>
              <c:extLst>
                <c:ext xmlns:c16="http://schemas.microsoft.com/office/drawing/2014/chart" uri="{C3380CC4-5D6E-409C-BE32-E72D297353CC}">
                  <c16:uniqueId val="{0000000B-42EE-407A-8C02-15A67AAC79B0}"/>
                </c:ext>
              </c:extLst>
            </c:dLbl>
            <c:spPr>
              <a:noFill/>
              <a:ln>
                <a:noFill/>
              </a:ln>
              <a:effectLst/>
            </c:spPr>
            <c:txPr>
              <a:bodyPr rot="-5400000" spcFirstLastPara="1" vertOverflow="ellipsis" wrap="square" lIns="38100" tIns="19050" rIns="38100" bIns="19050" anchor="ctr" anchorCtr="1">
                <a:spAutoFit/>
              </a:bodyPr>
              <a:lstStyle/>
              <a:p>
                <a:pPr>
                  <a:defRPr sz="1400" b="1"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'Salary Low'!$B$25:$B$42</c:f>
              <c:strCache>
                <c:ptCount val="18"/>
                <c:pt idx="0">
                  <c:v>Kern Community College District (2023-2026)</c:v>
                </c:pt>
                <c:pt idx="1">
                  <c:v>College of the Sequoias (2024-2027)</c:v>
                </c:pt>
                <c:pt idx="2">
                  <c:v>Yosemite Community College District (2023-2026) </c:v>
                </c:pt>
                <c:pt idx="3">
                  <c:v>State Center Community College District (2022-2025) + 3.3%</c:v>
                </c:pt>
                <c:pt idx="4">
                  <c:v>San Joaquin Delta CCD (2024-2027)</c:v>
                </c:pt>
                <c:pt idx="5">
                  <c:v>State Center Community College District (2022-2025) </c:v>
                </c:pt>
                <c:pt idx="6">
                  <c:v>Hartnell Community College District (2022-2025)</c:v>
                </c:pt>
                <c:pt idx="7">
                  <c:v>Cabrillo Community College District (2022-2025)</c:v>
                </c:pt>
                <c:pt idx="8">
                  <c:v>West Hills Community College District (2022-2025) </c:v>
                </c:pt>
                <c:pt idx="9">
                  <c:v>Merced Community College District (2024-2027)</c:v>
                </c:pt>
                <c:pt idx="10">
                  <c:v>San Luis Obispo County Community College District (2023-2025)</c:v>
                </c:pt>
                <c:pt idx="11">
                  <c:v>Contra Costa Community College District (2022-2025)</c:v>
                </c:pt>
                <c:pt idx="12">
                  <c:v>Gavilan Community College District (2024-2027)</c:v>
                </c:pt>
                <c:pt idx="13">
                  <c:v>West Kern Community College District (Taft College) (2023-2026)</c:v>
                </c:pt>
                <c:pt idx="14">
                  <c:v>Allan Hancock CCD (2024-2027)</c:v>
                </c:pt>
                <c:pt idx="15">
                  <c:v>Monterey - Peninsula Community College District (2022-2025)</c:v>
                </c:pt>
                <c:pt idx="16">
                  <c:v>Ventura County CCD (2022-2025)</c:v>
                </c:pt>
                <c:pt idx="17">
                  <c:v>Los Rios Community College District (2023-2026)</c:v>
                </c:pt>
              </c:strCache>
            </c:strRef>
          </c:cat>
          <c:val>
            <c:numRef>
              <c:f>'Salary Low'!$C$25:$C$42</c:f>
              <c:numCache>
                <c:formatCode>_("$"* #,##0.00_);_("$"* \(#,##0.00\);_("$"* "-"??_);_(@_)</c:formatCode>
                <c:ptCount val="18"/>
                <c:pt idx="0">
                  <c:v>89080.98</c:v>
                </c:pt>
                <c:pt idx="1">
                  <c:v>77769.240000000005</c:v>
                </c:pt>
                <c:pt idx="2">
                  <c:v>75979</c:v>
                </c:pt>
                <c:pt idx="3">
                  <c:v>73398.782000000007</c:v>
                </c:pt>
                <c:pt idx="4">
                  <c:v>72014</c:v>
                </c:pt>
                <c:pt idx="5">
                  <c:v>71054</c:v>
                </c:pt>
                <c:pt idx="6">
                  <c:v>70608</c:v>
                </c:pt>
                <c:pt idx="7">
                  <c:v>70350</c:v>
                </c:pt>
                <c:pt idx="8">
                  <c:v>69954</c:v>
                </c:pt>
                <c:pt idx="9">
                  <c:v>69375</c:v>
                </c:pt>
                <c:pt idx="10">
                  <c:v>68383</c:v>
                </c:pt>
                <c:pt idx="11">
                  <c:v>68136</c:v>
                </c:pt>
                <c:pt idx="12">
                  <c:v>67466.2</c:v>
                </c:pt>
                <c:pt idx="13">
                  <c:v>66875</c:v>
                </c:pt>
                <c:pt idx="14">
                  <c:v>66760</c:v>
                </c:pt>
                <c:pt idx="15">
                  <c:v>63492</c:v>
                </c:pt>
                <c:pt idx="16">
                  <c:v>61599</c:v>
                </c:pt>
                <c:pt idx="17">
                  <c:v>55958</c:v>
                </c:pt>
              </c:numCache>
            </c:numRef>
          </c:val>
          <c:extLst>
            <c:ext xmlns:c16="http://schemas.microsoft.com/office/drawing/2014/chart" uri="{C3380CC4-5D6E-409C-BE32-E72D297353CC}">
              <c16:uniqueId val="{0000000A-4774-4211-8612-7B77A14C757B}"/>
            </c:ext>
          </c:extLst>
        </c:ser>
        <c:dLbls>
          <c:dLblPos val="inEnd"/>
          <c:showLegendKey val="0"/>
          <c:showVal val="1"/>
          <c:showCatName val="0"/>
          <c:showSerName val="0"/>
          <c:showPercent val="0"/>
          <c:showBubbleSize val="0"/>
        </c:dLbls>
        <c:gapWidth val="20"/>
        <c:axId val="616796736"/>
        <c:axId val="616792424"/>
      </c:barChart>
      <c:catAx>
        <c:axId val="616796736"/>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n-US"/>
          </a:p>
        </c:txPr>
        <c:crossAx val="616792424"/>
        <c:crosses val="autoZero"/>
        <c:auto val="1"/>
        <c:lblAlgn val="ctr"/>
        <c:lblOffset val="100"/>
        <c:noMultiLvlLbl val="0"/>
      </c:catAx>
      <c:valAx>
        <c:axId val="616792424"/>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_(&quot;$&quot;* #,##0.00_);_(&quot;$&quot;* \(#,##0.00\);_(&quot;$&quot;* &quot;-&quot;??_);_(@_)" sourceLinked="1"/>
        <c:majorTickMark val="none"/>
        <c:minorTickMark val="none"/>
        <c:tickLblPos val="nextTo"/>
        <c:crossAx val="616796736"/>
        <c:crosses val="autoZero"/>
        <c:crossBetween val="between"/>
      </c:valAx>
      <c:spPr>
        <a:noFill/>
        <a:ln>
          <a:noFill/>
        </a:ln>
        <a:effectLst/>
      </c:spPr>
    </c:plotArea>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n-US"/>
    </a:p>
  </c:txPr>
  <c:printSettings>
    <c:headerFooter/>
    <c:pageMargins b="0.75000000000000011" l="0.70000000000000007" r="0.70000000000000007" t="0.75000000000000011" header="0.30000000000000004" footer="0.30000000000000004"/>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a:t>Faculty Low Salary (Master's Only) </a:t>
            </a:r>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n-US"/>
        </a:p>
      </c:txPr>
    </c:title>
    <c:autoTitleDeleted val="0"/>
    <c:plotArea>
      <c:layout/>
      <c:barChart>
        <c:barDir val="col"/>
        <c:grouping val="clustered"/>
        <c:varyColors val="0"/>
        <c:ser>
          <c:idx val="0"/>
          <c:order val="0"/>
          <c:tx>
            <c:strRef>
              <c:f>'Salary Low (Masters)'!$C$28</c:f>
              <c:strCache>
                <c:ptCount val="1"/>
                <c:pt idx="0">
                  <c:v>Low Salary (MA Only)</c:v>
                </c:pt>
              </c:strCache>
            </c:strRef>
          </c:tx>
          <c:spPr>
            <a:solidFill>
              <a:schemeClr val="tx2"/>
            </a:solidFill>
            <a:ln w="9525" cap="flat" cmpd="sng" algn="ctr">
              <a:solidFill>
                <a:schemeClr val="tx2">
                  <a:alpha val="50000"/>
                </a:schemeClr>
              </a:solidFill>
              <a:round/>
            </a:ln>
            <a:effectLst/>
          </c:spPr>
          <c:invertIfNegative val="0"/>
          <c:dPt>
            <c:idx val="0"/>
            <c:invertIfNegative val="0"/>
            <c:bubble3D val="0"/>
            <c:extLst>
              <c:ext xmlns:c16="http://schemas.microsoft.com/office/drawing/2014/chart" uri="{C3380CC4-5D6E-409C-BE32-E72D297353CC}">
                <c16:uniqueId val="{00000004-13F0-4460-B874-9DF92049F3B0}"/>
              </c:ext>
            </c:extLst>
          </c:dPt>
          <c:dPt>
            <c:idx val="1"/>
            <c:invertIfNegative val="0"/>
            <c:bubble3D val="0"/>
            <c:extLst>
              <c:ext xmlns:c16="http://schemas.microsoft.com/office/drawing/2014/chart" uri="{C3380CC4-5D6E-409C-BE32-E72D297353CC}">
                <c16:uniqueId val="{00000003-3C5E-4898-8E99-E8A45409D4E7}"/>
              </c:ext>
            </c:extLst>
          </c:dPt>
          <c:dPt>
            <c:idx val="2"/>
            <c:invertIfNegative val="0"/>
            <c:bubble3D val="0"/>
            <c:spPr>
              <a:solidFill>
                <a:schemeClr val="accent6">
                  <a:lumMod val="40000"/>
                  <a:lumOff val="60000"/>
                </a:schemeClr>
              </a:solidFill>
              <a:ln w="9525" cap="flat" cmpd="sng" algn="ctr">
                <a:solidFill>
                  <a:schemeClr val="tx2">
                    <a:alpha val="50000"/>
                  </a:schemeClr>
                </a:solidFill>
                <a:round/>
              </a:ln>
              <a:effectLst/>
            </c:spPr>
            <c:extLst>
              <c:ext xmlns:c16="http://schemas.microsoft.com/office/drawing/2014/chart" uri="{C3380CC4-5D6E-409C-BE32-E72D297353CC}">
                <c16:uniqueId val="{0000000E-59B5-44E8-A82B-F64665AE414A}"/>
              </c:ext>
            </c:extLst>
          </c:dPt>
          <c:dPt>
            <c:idx val="3"/>
            <c:invertIfNegative val="0"/>
            <c:bubble3D val="0"/>
            <c:spPr>
              <a:solidFill>
                <a:schemeClr val="tx2"/>
              </a:solidFill>
              <a:ln w="9525" cap="flat" cmpd="sng" algn="ctr">
                <a:solidFill>
                  <a:schemeClr val="tx2">
                    <a:alpha val="50000"/>
                  </a:schemeClr>
                </a:solidFill>
                <a:round/>
              </a:ln>
              <a:effectLst/>
            </c:spPr>
            <c:extLst>
              <c:ext xmlns:c16="http://schemas.microsoft.com/office/drawing/2014/chart" uri="{C3380CC4-5D6E-409C-BE32-E72D297353CC}">
                <c16:uniqueId val="{00000005-3C5E-4898-8E99-E8A45409D4E7}"/>
              </c:ext>
            </c:extLst>
          </c:dPt>
          <c:dPt>
            <c:idx val="4"/>
            <c:invertIfNegative val="0"/>
            <c:bubble3D val="0"/>
            <c:spPr>
              <a:solidFill>
                <a:srgbClr val="FFFF00"/>
              </a:solidFill>
              <a:ln w="9525" cap="flat" cmpd="sng" algn="ctr">
                <a:solidFill>
                  <a:schemeClr val="tx2">
                    <a:alpha val="50000"/>
                  </a:schemeClr>
                </a:solidFill>
                <a:round/>
              </a:ln>
              <a:effectLst/>
            </c:spPr>
            <c:extLst>
              <c:ext xmlns:c16="http://schemas.microsoft.com/office/drawing/2014/chart" uri="{C3380CC4-5D6E-409C-BE32-E72D297353CC}">
                <c16:uniqueId val="{00000001-E126-4D5A-9CBE-5AF2F1C2A1BA}"/>
              </c:ext>
            </c:extLst>
          </c:dPt>
          <c:dPt>
            <c:idx val="5"/>
            <c:invertIfNegative val="0"/>
            <c:bubble3D val="0"/>
            <c:extLst>
              <c:ext xmlns:c16="http://schemas.microsoft.com/office/drawing/2014/chart" uri="{C3380CC4-5D6E-409C-BE32-E72D297353CC}">
                <c16:uniqueId val="{00000008-3C5E-4898-8E99-E8A45409D4E7}"/>
              </c:ext>
            </c:extLst>
          </c:dPt>
          <c:dPt>
            <c:idx val="6"/>
            <c:invertIfNegative val="0"/>
            <c:bubble3D val="0"/>
            <c:extLst>
              <c:ext xmlns:c16="http://schemas.microsoft.com/office/drawing/2014/chart" uri="{C3380CC4-5D6E-409C-BE32-E72D297353CC}">
                <c16:uniqueId val="{00000005-FDF1-4451-A164-948DA9BC9A64}"/>
              </c:ext>
            </c:extLst>
          </c:dPt>
          <c:dPt>
            <c:idx val="7"/>
            <c:invertIfNegative val="0"/>
            <c:bubble3D val="0"/>
            <c:spPr>
              <a:solidFill>
                <a:schemeClr val="tx2"/>
              </a:solidFill>
              <a:ln w="9525" cap="flat" cmpd="sng" algn="ctr">
                <a:solidFill>
                  <a:schemeClr val="tx2">
                    <a:alpha val="50000"/>
                  </a:schemeClr>
                </a:solidFill>
                <a:round/>
              </a:ln>
              <a:effectLst/>
            </c:spPr>
            <c:extLst>
              <c:ext xmlns:c16="http://schemas.microsoft.com/office/drawing/2014/chart" uri="{C3380CC4-5D6E-409C-BE32-E72D297353CC}">
                <c16:uniqueId val="{00000008-DA51-4DDE-AB99-E3D15E4C6F49}"/>
              </c:ext>
            </c:extLst>
          </c:dPt>
          <c:dPt>
            <c:idx val="8"/>
            <c:invertIfNegative val="0"/>
            <c:bubble3D val="0"/>
            <c:extLst>
              <c:ext xmlns:c16="http://schemas.microsoft.com/office/drawing/2014/chart" uri="{C3380CC4-5D6E-409C-BE32-E72D297353CC}">
                <c16:uniqueId val="{0000000A-F969-4331-B866-D95E84D85B28}"/>
              </c:ext>
            </c:extLst>
          </c:dPt>
          <c:dPt>
            <c:idx val="10"/>
            <c:invertIfNegative val="0"/>
            <c:bubble3D val="0"/>
            <c:spPr>
              <a:solidFill>
                <a:schemeClr val="tx2"/>
              </a:solidFill>
              <a:ln w="9525" cap="flat" cmpd="sng" algn="ctr">
                <a:solidFill>
                  <a:schemeClr val="tx2">
                    <a:alpha val="50000"/>
                  </a:schemeClr>
                </a:solidFill>
                <a:round/>
              </a:ln>
              <a:effectLst/>
            </c:spPr>
            <c:extLst>
              <c:ext xmlns:c16="http://schemas.microsoft.com/office/drawing/2014/chart" uri="{C3380CC4-5D6E-409C-BE32-E72D297353CC}">
                <c16:uniqueId val="{00000009-7F6D-4220-A084-F148E0C40FF6}"/>
              </c:ext>
            </c:extLst>
          </c:dPt>
          <c:dPt>
            <c:idx val="11"/>
            <c:invertIfNegative val="0"/>
            <c:bubble3D val="0"/>
            <c:spPr>
              <a:solidFill>
                <a:schemeClr val="tx2"/>
              </a:solidFill>
              <a:ln w="9525" cap="flat" cmpd="sng" algn="ctr">
                <a:solidFill>
                  <a:schemeClr val="tx2">
                    <a:alpha val="50000"/>
                  </a:schemeClr>
                </a:solidFill>
                <a:round/>
              </a:ln>
              <a:effectLst/>
            </c:spPr>
            <c:extLst>
              <c:ext xmlns:c16="http://schemas.microsoft.com/office/drawing/2014/chart" uri="{C3380CC4-5D6E-409C-BE32-E72D297353CC}">
                <c16:uniqueId val="{0000000B-5DD7-4DBA-BB15-0620719F7283}"/>
              </c:ext>
            </c:extLst>
          </c:dPt>
          <c:dLbls>
            <c:dLbl>
              <c:idx val="2"/>
              <c:spPr>
                <a:noFill/>
                <a:ln>
                  <a:noFill/>
                </a:ln>
                <a:effectLst/>
              </c:spPr>
              <c:txPr>
                <a:bodyPr rot="-5400000" spcFirstLastPara="1" vertOverflow="ellipsis" wrap="square" lIns="38100" tIns="19050" rIns="38100" bIns="19050" anchor="ctr" anchorCtr="1">
                  <a:spAutoFit/>
                </a:bodyPr>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dLblPos val="inEnd"/>
              <c:showLegendKey val="0"/>
              <c:showVal val="1"/>
              <c:showCatName val="0"/>
              <c:showSerName val="0"/>
              <c:showPercent val="0"/>
              <c:showBubbleSize val="0"/>
              <c:extLst>
                <c:ext xmlns:c16="http://schemas.microsoft.com/office/drawing/2014/chart" uri="{C3380CC4-5D6E-409C-BE32-E72D297353CC}">
                  <c16:uniqueId val="{0000000E-59B5-44E8-A82B-F64665AE414A}"/>
                </c:ext>
              </c:extLst>
            </c:dLbl>
            <c:dLbl>
              <c:idx val="4"/>
              <c:spPr>
                <a:noFill/>
                <a:ln>
                  <a:noFill/>
                </a:ln>
                <a:effectLst/>
              </c:spPr>
              <c:txPr>
                <a:bodyPr rot="-5400000" spcFirstLastPara="1" vertOverflow="ellipsis" wrap="square" lIns="38100" tIns="19050" rIns="38100" bIns="19050" anchor="ctr" anchorCtr="1">
                  <a:spAutoFit/>
                </a:bodyPr>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dLblPos val="inEnd"/>
              <c:showLegendKey val="0"/>
              <c:showVal val="1"/>
              <c:showCatName val="0"/>
              <c:showSerName val="0"/>
              <c:showPercent val="0"/>
              <c:showBubbleSize val="0"/>
              <c:extLst>
                <c:ext xmlns:c16="http://schemas.microsoft.com/office/drawing/2014/chart" uri="{C3380CC4-5D6E-409C-BE32-E72D297353CC}">
                  <c16:uniqueId val="{00000001-E126-4D5A-9CBE-5AF2F1C2A1BA}"/>
                </c:ext>
              </c:extLst>
            </c:dLbl>
            <c:spPr>
              <a:noFill/>
              <a:ln>
                <a:noFill/>
              </a:ln>
              <a:effectLst/>
            </c:spPr>
            <c:txPr>
              <a:bodyPr rot="-5400000" spcFirstLastPara="1" vertOverflow="ellipsis" wrap="square" lIns="38100" tIns="19050" rIns="38100" bIns="19050" anchor="ctr" anchorCtr="1">
                <a:spAutoFit/>
              </a:bodyPr>
              <a:lstStyle/>
              <a:p>
                <a:pPr>
                  <a:defRPr sz="1600" b="1"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'Salary Low (Masters)'!$B$29:$B$46</c:f>
              <c:strCache>
                <c:ptCount val="18"/>
                <c:pt idx="0">
                  <c:v>Kern Community College District (2023-2026)</c:v>
                </c:pt>
                <c:pt idx="1">
                  <c:v>College of the Sequoias (2024-2027)</c:v>
                </c:pt>
                <c:pt idx="2">
                  <c:v>State Center Community College District (2022-2025) + 3.3%</c:v>
                </c:pt>
                <c:pt idx="3">
                  <c:v>Yosemite Community College District (2023-2026) </c:v>
                </c:pt>
                <c:pt idx="4">
                  <c:v>State Center Community College District (2022-2025) </c:v>
                </c:pt>
                <c:pt idx="5">
                  <c:v>West Hills Community College District (2022-2025) </c:v>
                </c:pt>
                <c:pt idx="6">
                  <c:v>Contra Costa Community College District (2022-2025)</c:v>
                </c:pt>
                <c:pt idx="7">
                  <c:v>Hartnell Community College District (2022-2025)</c:v>
                </c:pt>
                <c:pt idx="8">
                  <c:v>Monterey - Peninsula Community College District (2022-2025)</c:v>
                </c:pt>
                <c:pt idx="9">
                  <c:v>West Kern Community College District (Taft College) (2023-2026)</c:v>
                </c:pt>
                <c:pt idx="10">
                  <c:v>Cabrillo Community College District (2022-2025)</c:v>
                </c:pt>
                <c:pt idx="11">
                  <c:v>Merced Community College District (2024-2027)</c:v>
                </c:pt>
                <c:pt idx="12">
                  <c:v>San Joaquin Delta CCD (2024-2027)</c:v>
                </c:pt>
                <c:pt idx="13">
                  <c:v>Gavilan Community College District (2024-2027)</c:v>
                </c:pt>
                <c:pt idx="14">
                  <c:v>San Luis Obispo County Community College District (2023-2025)</c:v>
                </c:pt>
                <c:pt idx="15">
                  <c:v>Allan Hancock CCD (2024-2027)</c:v>
                </c:pt>
                <c:pt idx="16">
                  <c:v>Los Rios Community College District (2023-2026)</c:v>
                </c:pt>
                <c:pt idx="17">
                  <c:v>Ventura County CCD (2022-2025)</c:v>
                </c:pt>
              </c:strCache>
            </c:strRef>
          </c:cat>
          <c:val>
            <c:numRef>
              <c:f>'Salary Low (Masters)'!$C$29:$C$46</c:f>
              <c:numCache>
                <c:formatCode>_("$"* #,##0.00_);_("$"* \(#,##0.00\);_("$"* "-"??_);_(@_)</c:formatCode>
                <c:ptCount val="18"/>
                <c:pt idx="0">
                  <c:v>95412.68</c:v>
                </c:pt>
                <c:pt idx="1">
                  <c:v>88544.29</c:v>
                </c:pt>
                <c:pt idx="2">
                  <c:v>78443.953999999998</c:v>
                </c:pt>
                <c:pt idx="3">
                  <c:v>75979</c:v>
                </c:pt>
                <c:pt idx="4">
                  <c:v>75938</c:v>
                </c:pt>
                <c:pt idx="5">
                  <c:v>75535</c:v>
                </c:pt>
                <c:pt idx="6">
                  <c:v>75012</c:v>
                </c:pt>
                <c:pt idx="7">
                  <c:v>74431</c:v>
                </c:pt>
                <c:pt idx="8">
                  <c:v>73964</c:v>
                </c:pt>
                <c:pt idx="9">
                  <c:v>73683</c:v>
                </c:pt>
                <c:pt idx="10">
                  <c:v>72628</c:v>
                </c:pt>
                <c:pt idx="11">
                  <c:v>72387</c:v>
                </c:pt>
                <c:pt idx="12">
                  <c:v>72014</c:v>
                </c:pt>
                <c:pt idx="13">
                  <c:v>71881.570000000007</c:v>
                </c:pt>
                <c:pt idx="14">
                  <c:v>71789</c:v>
                </c:pt>
                <c:pt idx="15">
                  <c:v>71099</c:v>
                </c:pt>
                <c:pt idx="16">
                  <c:v>61911</c:v>
                </c:pt>
                <c:pt idx="17">
                  <c:v>61599</c:v>
                </c:pt>
              </c:numCache>
            </c:numRef>
          </c:val>
          <c:extLst>
            <c:ext xmlns:c16="http://schemas.microsoft.com/office/drawing/2014/chart" uri="{C3380CC4-5D6E-409C-BE32-E72D297353CC}">
              <c16:uniqueId val="{0000000B-FDF1-4451-A164-948DA9BC9A64}"/>
            </c:ext>
          </c:extLst>
        </c:ser>
        <c:dLbls>
          <c:dLblPos val="inEnd"/>
          <c:showLegendKey val="0"/>
          <c:showVal val="1"/>
          <c:showCatName val="0"/>
          <c:showSerName val="0"/>
          <c:showPercent val="0"/>
          <c:showBubbleSize val="0"/>
        </c:dLbls>
        <c:gapWidth val="15"/>
        <c:axId val="616784976"/>
        <c:axId val="616789680"/>
      </c:barChart>
      <c:catAx>
        <c:axId val="616784976"/>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n-US"/>
          </a:p>
        </c:txPr>
        <c:crossAx val="616789680"/>
        <c:crosses val="autoZero"/>
        <c:auto val="1"/>
        <c:lblAlgn val="ctr"/>
        <c:lblOffset val="100"/>
        <c:noMultiLvlLbl val="0"/>
      </c:catAx>
      <c:valAx>
        <c:axId val="616789680"/>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_(&quot;$&quot;* #,##0.00_);_(&quot;$&quot;* \(#,##0.00\);_(&quot;$&quot;* &quot;-&quot;??_);_(@_)" sourceLinked="1"/>
        <c:majorTickMark val="none"/>
        <c:minorTickMark val="none"/>
        <c:tickLblPos val="nextTo"/>
        <c:crossAx val="616784976"/>
        <c:crosses val="autoZero"/>
        <c:crossBetween val="between"/>
      </c:valAx>
      <c:spPr>
        <a:noFill/>
        <a:ln>
          <a:noFill/>
        </a:ln>
        <a:effectLst/>
      </c:spPr>
    </c:plotArea>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n-US"/>
    </a:p>
  </c:txPr>
  <c:printSettings>
    <c:headerFooter/>
    <c:pageMargins b="0.75000000000000011" l="0.70000000000000007" r="0.70000000000000007" t="0.75000000000000011" header="0.30000000000000004" footer="0.30000000000000004"/>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n-US"/>
        </a:p>
      </c:txPr>
    </c:title>
    <c:autoTitleDeleted val="0"/>
    <c:plotArea>
      <c:layout/>
      <c:barChart>
        <c:barDir val="col"/>
        <c:grouping val="clustered"/>
        <c:varyColors val="0"/>
        <c:ser>
          <c:idx val="0"/>
          <c:order val="0"/>
          <c:tx>
            <c:strRef>
              <c:f>'Masters+5Years'!$C$26</c:f>
              <c:strCache>
                <c:ptCount val="1"/>
                <c:pt idx="0">
                  <c:v>MA+5 Years </c:v>
                </c:pt>
              </c:strCache>
            </c:strRef>
          </c:tx>
          <c:spPr>
            <a:solidFill>
              <a:schemeClr val="tx2"/>
            </a:solidFill>
            <a:ln w="9525" cap="flat" cmpd="sng" algn="ctr">
              <a:solidFill>
                <a:schemeClr val="lt1">
                  <a:alpha val="50000"/>
                </a:schemeClr>
              </a:solidFill>
              <a:round/>
            </a:ln>
            <a:effectLst/>
          </c:spPr>
          <c:invertIfNegative val="0"/>
          <c:dPt>
            <c:idx val="0"/>
            <c:invertIfNegative val="0"/>
            <c:bubble3D val="0"/>
            <c:spPr>
              <a:solidFill>
                <a:schemeClr val="tx2"/>
              </a:solidFill>
              <a:ln w="9525" cap="flat" cmpd="sng" algn="ctr">
                <a:solidFill>
                  <a:schemeClr val="lt1">
                    <a:alpha val="50000"/>
                  </a:schemeClr>
                </a:solidFill>
                <a:round/>
              </a:ln>
              <a:effectLst/>
            </c:spPr>
            <c:extLst>
              <c:ext xmlns:c16="http://schemas.microsoft.com/office/drawing/2014/chart" uri="{C3380CC4-5D6E-409C-BE32-E72D297353CC}">
                <c16:uniqueId val="{00000002-793F-4BD7-A281-73084770DE64}"/>
              </c:ext>
            </c:extLst>
          </c:dPt>
          <c:dPt>
            <c:idx val="1"/>
            <c:invertIfNegative val="0"/>
            <c:bubble3D val="0"/>
            <c:spPr>
              <a:solidFill>
                <a:schemeClr val="tx2"/>
              </a:solidFill>
              <a:ln w="9525" cap="flat" cmpd="sng" algn="ctr">
                <a:solidFill>
                  <a:schemeClr val="lt1">
                    <a:alpha val="50000"/>
                  </a:schemeClr>
                </a:solidFill>
                <a:round/>
              </a:ln>
              <a:effectLst/>
            </c:spPr>
            <c:extLst>
              <c:ext xmlns:c16="http://schemas.microsoft.com/office/drawing/2014/chart" uri="{C3380CC4-5D6E-409C-BE32-E72D297353CC}">
                <c16:uniqueId val="{00000003-793F-4BD7-A281-73084770DE64}"/>
              </c:ext>
            </c:extLst>
          </c:dPt>
          <c:dPt>
            <c:idx val="2"/>
            <c:invertIfNegative val="0"/>
            <c:bubble3D val="0"/>
            <c:spPr>
              <a:solidFill>
                <a:schemeClr val="accent6">
                  <a:lumMod val="40000"/>
                  <a:lumOff val="60000"/>
                </a:schemeClr>
              </a:solidFill>
              <a:ln w="9525" cap="flat" cmpd="sng" algn="ctr">
                <a:solidFill>
                  <a:schemeClr val="lt1">
                    <a:alpha val="50000"/>
                  </a:schemeClr>
                </a:solidFill>
                <a:round/>
              </a:ln>
              <a:effectLst/>
            </c:spPr>
            <c:extLst>
              <c:ext xmlns:c16="http://schemas.microsoft.com/office/drawing/2014/chart" uri="{C3380CC4-5D6E-409C-BE32-E72D297353CC}">
                <c16:uniqueId val="{00000008-95D8-4533-BCC4-83747C4B3D97}"/>
              </c:ext>
            </c:extLst>
          </c:dPt>
          <c:dPt>
            <c:idx val="3"/>
            <c:invertIfNegative val="0"/>
            <c:bubble3D val="0"/>
            <c:spPr>
              <a:solidFill>
                <a:srgbClr val="FFFF00"/>
              </a:solidFill>
              <a:ln w="9525" cap="flat" cmpd="sng" algn="ctr">
                <a:solidFill>
                  <a:schemeClr val="lt1">
                    <a:alpha val="50000"/>
                  </a:schemeClr>
                </a:solidFill>
                <a:round/>
              </a:ln>
              <a:effectLst/>
            </c:spPr>
            <c:extLst>
              <c:ext xmlns:c16="http://schemas.microsoft.com/office/drawing/2014/chart" uri="{C3380CC4-5D6E-409C-BE32-E72D297353CC}">
                <c16:uniqueId val="{00000006-5FFA-4F8A-86BF-853E5B4D75EE}"/>
              </c:ext>
            </c:extLst>
          </c:dPt>
          <c:dPt>
            <c:idx val="11"/>
            <c:invertIfNegative val="0"/>
            <c:bubble3D val="0"/>
            <c:spPr>
              <a:solidFill>
                <a:schemeClr val="tx2"/>
              </a:solidFill>
              <a:ln w="9525" cap="flat" cmpd="sng" algn="ctr">
                <a:solidFill>
                  <a:schemeClr val="lt1">
                    <a:alpha val="50000"/>
                  </a:schemeClr>
                </a:solidFill>
                <a:round/>
              </a:ln>
              <a:effectLst/>
            </c:spPr>
            <c:extLst>
              <c:ext xmlns:c16="http://schemas.microsoft.com/office/drawing/2014/chart" uri="{C3380CC4-5D6E-409C-BE32-E72D297353CC}">
                <c16:uniqueId val="{00000004-369E-49F7-9EF2-F215E0699A47}"/>
              </c:ext>
            </c:extLst>
          </c:dPt>
          <c:dLbls>
            <c:dLbl>
              <c:idx val="2"/>
              <c:spPr>
                <a:noFill/>
                <a:ln>
                  <a:noFill/>
                </a:ln>
                <a:effectLst/>
              </c:spPr>
              <c:txPr>
                <a:bodyPr rot="-5400000" spcFirstLastPara="1" vertOverflow="ellipsis" wrap="square" lIns="38100" tIns="19050" rIns="38100" bIns="19050" anchor="ctr" anchorCtr="1">
                  <a:spAutoFit/>
                </a:bodyPr>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dLblPos val="inEnd"/>
              <c:showLegendKey val="0"/>
              <c:showVal val="1"/>
              <c:showCatName val="0"/>
              <c:showSerName val="0"/>
              <c:showPercent val="0"/>
              <c:showBubbleSize val="0"/>
              <c:extLst>
                <c:ext xmlns:c16="http://schemas.microsoft.com/office/drawing/2014/chart" uri="{C3380CC4-5D6E-409C-BE32-E72D297353CC}">
                  <c16:uniqueId val="{00000008-95D8-4533-BCC4-83747C4B3D97}"/>
                </c:ext>
              </c:extLst>
            </c:dLbl>
            <c:dLbl>
              <c:idx val="3"/>
              <c:spPr>
                <a:noFill/>
                <a:ln>
                  <a:noFill/>
                </a:ln>
                <a:effectLst/>
              </c:spPr>
              <c:txPr>
                <a:bodyPr rot="-5400000" spcFirstLastPara="1" vertOverflow="ellipsis" wrap="square" lIns="38100" tIns="19050" rIns="38100" bIns="19050" anchor="ctr" anchorCtr="1">
                  <a:spAutoFit/>
                </a:bodyPr>
                <a:lstStyle/>
                <a:p>
                  <a:pPr>
                    <a:defRPr sz="1600" b="1"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dLblPos val="inEnd"/>
              <c:showLegendKey val="0"/>
              <c:showVal val="1"/>
              <c:showCatName val="0"/>
              <c:showSerName val="0"/>
              <c:showPercent val="0"/>
              <c:showBubbleSize val="0"/>
              <c:extLst>
                <c:ext xmlns:c16="http://schemas.microsoft.com/office/drawing/2014/chart" uri="{C3380CC4-5D6E-409C-BE32-E72D297353CC}">
                  <c16:uniqueId val="{00000006-5FFA-4F8A-86BF-853E5B4D75EE}"/>
                </c:ext>
              </c:extLst>
            </c:dLbl>
            <c:spPr>
              <a:noFill/>
              <a:ln>
                <a:noFill/>
              </a:ln>
              <a:effectLst/>
            </c:spPr>
            <c:txPr>
              <a:bodyPr rot="-5400000" spcFirstLastPara="1" vertOverflow="ellipsis" wrap="square" lIns="38100" tIns="19050" rIns="38100" bIns="19050" anchor="ctr" anchorCtr="1">
                <a:spAutoFit/>
              </a:bodyPr>
              <a:lstStyle/>
              <a:p>
                <a:pPr>
                  <a:defRPr sz="1600" b="1"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'Masters+5Years'!$B$27:$B$44</c:f>
              <c:strCache>
                <c:ptCount val="18"/>
                <c:pt idx="0">
                  <c:v>Kern Community College District (2023-2026)</c:v>
                </c:pt>
                <c:pt idx="1">
                  <c:v>College of the Sequoias (2024-2027)</c:v>
                </c:pt>
                <c:pt idx="2">
                  <c:v>State Center Community College District (2022-2025) + 3.3%</c:v>
                </c:pt>
                <c:pt idx="3">
                  <c:v>State Center Community College District (2022-2025) </c:v>
                </c:pt>
                <c:pt idx="4">
                  <c:v>West Kern Community College District (Taft College) (2023-2026)</c:v>
                </c:pt>
                <c:pt idx="5">
                  <c:v>Yosemite Community College District (2023-2026) </c:v>
                </c:pt>
                <c:pt idx="6">
                  <c:v>Hartnell Community College District (2022-2025)</c:v>
                </c:pt>
                <c:pt idx="7">
                  <c:v>San Joaquin Delta CCD (2024-2027)</c:v>
                </c:pt>
                <c:pt idx="8">
                  <c:v>Monterey - Peninsula Community College District (2022-2025)</c:v>
                </c:pt>
                <c:pt idx="9">
                  <c:v>West Hills Community College District (2022-2025) </c:v>
                </c:pt>
                <c:pt idx="10">
                  <c:v>Cabrillo Community College District (2022-2025)</c:v>
                </c:pt>
                <c:pt idx="11">
                  <c:v>San Luis Obispo County Community College District (2023-2025)</c:v>
                </c:pt>
                <c:pt idx="12">
                  <c:v>Merced Community College District (2024-2027)</c:v>
                </c:pt>
                <c:pt idx="13">
                  <c:v>Gavilan Community College District (2024-2027)</c:v>
                </c:pt>
                <c:pt idx="14">
                  <c:v>Contra Costa Community College District (2022-2025)</c:v>
                </c:pt>
                <c:pt idx="15">
                  <c:v>Allan Hancock CCD (2024-2027)</c:v>
                </c:pt>
                <c:pt idx="16">
                  <c:v>Los Rios Community College District (2023-2026)</c:v>
                </c:pt>
                <c:pt idx="17">
                  <c:v>Ventura County CCD (2022-2025)</c:v>
                </c:pt>
              </c:strCache>
            </c:strRef>
          </c:cat>
          <c:val>
            <c:numRef>
              <c:f>'Masters+5Years'!$C$27:$C$44</c:f>
              <c:numCache>
                <c:formatCode>_("$"* #,##0.00_);_("$"* \(#,##0.00\);_("$"* "-"??_);_(@_)</c:formatCode>
                <c:ptCount val="18"/>
                <c:pt idx="0">
                  <c:v>107950.68</c:v>
                </c:pt>
                <c:pt idx="1">
                  <c:v>104770.39</c:v>
                </c:pt>
                <c:pt idx="2">
                  <c:v>97391.24</c:v>
                </c:pt>
                <c:pt idx="3">
                  <c:v>94280</c:v>
                </c:pt>
                <c:pt idx="4">
                  <c:v>92853</c:v>
                </c:pt>
                <c:pt idx="5">
                  <c:v>91432</c:v>
                </c:pt>
                <c:pt idx="6">
                  <c:v>91255</c:v>
                </c:pt>
                <c:pt idx="7">
                  <c:v>90585</c:v>
                </c:pt>
                <c:pt idx="8">
                  <c:v>89832</c:v>
                </c:pt>
                <c:pt idx="9">
                  <c:v>89498</c:v>
                </c:pt>
                <c:pt idx="10">
                  <c:v>88824</c:v>
                </c:pt>
                <c:pt idx="11">
                  <c:v>88788</c:v>
                </c:pt>
                <c:pt idx="12">
                  <c:v>87482</c:v>
                </c:pt>
                <c:pt idx="13">
                  <c:v>86349.69</c:v>
                </c:pt>
                <c:pt idx="14">
                  <c:v>84396</c:v>
                </c:pt>
                <c:pt idx="15">
                  <c:v>84037</c:v>
                </c:pt>
                <c:pt idx="16">
                  <c:v>80365</c:v>
                </c:pt>
                <c:pt idx="17">
                  <c:v>76997</c:v>
                </c:pt>
              </c:numCache>
            </c:numRef>
          </c:val>
          <c:extLst>
            <c:ext xmlns:c16="http://schemas.microsoft.com/office/drawing/2014/chart" uri="{C3380CC4-5D6E-409C-BE32-E72D297353CC}">
              <c16:uniqueId val="{00000000-793F-4BD7-A281-73084770DE64}"/>
            </c:ext>
          </c:extLst>
        </c:ser>
        <c:dLbls>
          <c:dLblPos val="inEnd"/>
          <c:showLegendKey val="0"/>
          <c:showVal val="1"/>
          <c:showCatName val="0"/>
          <c:showSerName val="0"/>
          <c:showPercent val="0"/>
          <c:showBubbleSize val="0"/>
        </c:dLbls>
        <c:gapWidth val="65"/>
        <c:axId val="519029320"/>
        <c:axId val="519029648"/>
      </c:barChart>
      <c:catAx>
        <c:axId val="519029320"/>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800" b="0" i="0" u="none" strike="noStrike" kern="1200" cap="all" baseline="0">
                <a:solidFill>
                  <a:schemeClr val="dk1">
                    <a:lumMod val="75000"/>
                    <a:lumOff val="25000"/>
                  </a:schemeClr>
                </a:solidFill>
                <a:latin typeface="+mn-lt"/>
                <a:ea typeface="+mn-ea"/>
                <a:cs typeface="+mn-cs"/>
              </a:defRPr>
            </a:pPr>
            <a:endParaRPr lang="en-US"/>
          </a:p>
        </c:txPr>
        <c:crossAx val="519029648"/>
        <c:crosses val="autoZero"/>
        <c:auto val="1"/>
        <c:lblAlgn val="ctr"/>
        <c:lblOffset val="100"/>
        <c:noMultiLvlLbl val="0"/>
      </c:catAx>
      <c:valAx>
        <c:axId val="519029648"/>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_(&quot;$&quot;* #,##0.00_);_(&quot;$&quot;* \(#,##0.00\);_(&quot;$&quot;* &quot;-&quot;??_);_(@_)" sourceLinked="1"/>
        <c:majorTickMark val="none"/>
        <c:minorTickMark val="none"/>
        <c:tickLblPos val="nextTo"/>
        <c:crossAx val="519029320"/>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n-US"/>
        </a:p>
      </c:txPr>
    </c:title>
    <c:autoTitleDeleted val="0"/>
    <c:plotArea>
      <c:layout/>
      <c:barChart>
        <c:barDir val="col"/>
        <c:grouping val="clustered"/>
        <c:varyColors val="0"/>
        <c:ser>
          <c:idx val="0"/>
          <c:order val="0"/>
          <c:tx>
            <c:strRef>
              <c:f>'Masters+30Units+10Years'!$C$26</c:f>
              <c:strCache>
                <c:ptCount val="1"/>
                <c:pt idx="0">
                  <c:v>MA + 30 Units + 10 Years </c:v>
                </c:pt>
              </c:strCache>
            </c:strRef>
          </c:tx>
          <c:spPr>
            <a:solidFill>
              <a:schemeClr val="tx2"/>
            </a:solidFill>
            <a:ln w="9525" cap="flat" cmpd="sng" algn="ctr">
              <a:solidFill>
                <a:schemeClr val="lt1">
                  <a:alpha val="50000"/>
                </a:schemeClr>
              </a:solidFill>
              <a:round/>
            </a:ln>
            <a:effectLst/>
          </c:spPr>
          <c:invertIfNegative val="0"/>
          <c:dPt>
            <c:idx val="0"/>
            <c:invertIfNegative val="0"/>
            <c:bubble3D val="0"/>
            <c:extLst>
              <c:ext xmlns:c16="http://schemas.microsoft.com/office/drawing/2014/chart" uri="{C3380CC4-5D6E-409C-BE32-E72D297353CC}">
                <c16:uniqueId val="{00000007-988F-4440-B63F-1999CA064859}"/>
              </c:ext>
            </c:extLst>
          </c:dPt>
          <c:dPt>
            <c:idx val="1"/>
            <c:invertIfNegative val="0"/>
            <c:bubble3D val="0"/>
            <c:spPr>
              <a:solidFill>
                <a:schemeClr val="tx2"/>
              </a:solidFill>
              <a:ln w="9525" cap="flat" cmpd="sng" algn="ctr">
                <a:solidFill>
                  <a:schemeClr val="lt1">
                    <a:alpha val="50000"/>
                  </a:schemeClr>
                </a:solidFill>
                <a:round/>
              </a:ln>
              <a:effectLst/>
            </c:spPr>
            <c:extLst>
              <c:ext xmlns:c16="http://schemas.microsoft.com/office/drawing/2014/chart" uri="{C3380CC4-5D6E-409C-BE32-E72D297353CC}">
                <c16:uniqueId val="{00000003-6802-484D-84FA-C593509DA718}"/>
              </c:ext>
            </c:extLst>
          </c:dPt>
          <c:dPt>
            <c:idx val="2"/>
            <c:invertIfNegative val="0"/>
            <c:bubble3D val="0"/>
            <c:spPr>
              <a:solidFill>
                <a:schemeClr val="accent6">
                  <a:lumMod val="40000"/>
                  <a:lumOff val="60000"/>
                </a:schemeClr>
              </a:solidFill>
              <a:ln w="9525" cap="flat" cmpd="sng" algn="ctr">
                <a:solidFill>
                  <a:schemeClr val="lt1">
                    <a:alpha val="50000"/>
                  </a:schemeClr>
                </a:solidFill>
                <a:round/>
              </a:ln>
              <a:effectLst/>
            </c:spPr>
            <c:extLst>
              <c:ext xmlns:c16="http://schemas.microsoft.com/office/drawing/2014/chart" uri="{C3380CC4-5D6E-409C-BE32-E72D297353CC}">
                <c16:uniqueId val="{00000002-543A-4CF6-9813-341328C683F0}"/>
              </c:ext>
            </c:extLst>
          </c:dPt>
          <c:dPt>
            <c:idx val="3"/>
            <c:invertIfNegative val="0"/>
            <c:bubble3D val="0"/>
            <c:spPr>
              <a:solidFill>
                <a:schemeClr val="tx2"/>
              </a:solidFill>
              <a:ln w="9525" cap="flat" cmpd="sng" algn="ctr">
                <a:solidFill>
                  <a:schemeClr val="lt1">
                    <a:alpha val="50000"/>
                  </a:schemeClr>
                </a:solidFill>
                <a:round/>
              </a:ln>
              <a:effectLst/>
            </c:spPr>
            <c:extLst>
              <c:ext xmlns:c16="http://schemas.microsoft.com/office/drawing/2014/chart" uri="{C3380CC4-5D6E-409C-BE32-E72D297353CC}">
                <c16:uniqueId val="{00000004-6802-484D-84FA-C593509DA718}"/>
              </c:ext>
            </c:extLst>
          </c:dPt>
          <c:dPt>
            <c:idx val="4"/>
            <c:invertIfNegative val="0"/>
            <c:bubble3D val="0"/>
            <c:spPr>
              <a:solidFill>
                <a:srgbClr val="FFFF00"/>
              </a:solidFill>
              <a:ln w="9525" cap="flat" cmpd="sng" algn="ctr">
                <a:solidFill>
                  <a:schemeClr val="lt1">
                    <a:alpha val="50000"/>
                  </a:schemeClr>
                </a:solidFill>
                <a:round/>
              </a:ln>
              <a:effectLst/>
            </c:spPr>
            <c:extLst>
              <c:ext xmlns:c16="http://schemas.microsoft.com/office/drawing/2014/chart" uri="{C3380CC4-5D6E-409C-BE32-E72D297353CC}">
                <c16:uniqueId val="{00000009-F5B9-43DC-8853-89CF1E6ACF35}"/>
              </c:ext>
            </c:extLst>
          </c:dPt>
          <c:dPt>
            <c:idx val="13"/>
            <c:invertIfNegative val="0"/>
            <c:bubble3D val="0"/>
            <c:spPr>
              <a:solidFill>
                <a:schemeClr val="tx2"/>
              </a:solidFill>
              <a:ln w="9525" cap="flat" cmpd="sng" algn="ctr">
                <a:solidFill>
                  <a:schemeClr val="lt1">
                    <a:alpha val="50000"/>
                  </a:schemeClr>
                </a:solidFill>
                <a:round/>
              </a:ln>
              <a:effectLst/>
            </c:spPr>
            <c:extLst>
              <c:ext xmlns:c16="http://schemas.microsoft.com/office/drawing/2014/chart" uri="{C3380CC4-5D6E-409C-BE32-E72D297353CC}">
                <c16:uniqueId val="{00000006-83C0-449E-BCEC-48A2FAA642D1}"/>
              </c:ext>
            </c:extLst>
          </c:dPt>
          <c:dLbls>
            <c:dLbl>
              <c:idx val="2"/>
              <c:spPr>
                <a:noFill/>
                <a:ln>
                  <a:noFill/>
                </a:ln>
                <a:effectLst/>
              </c:spPr>
              <c:txPr>
                <a:bodyPr rot="-5400000" spcFirstLastPara="1" vertOverflow="ellipsis" wrap="square" lIns="38100" tIns="19050" rIns="38100" bIns="19050" anchor="ctr" anchorCtr="1">
                  <a:spAutoFit/>
                </a:bodyPr>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dLblPos val="inEnd"/>
              <c:showLegendKey val="0"/>
              <c:showVal val="1"/>
              <c:showCatName val="0"/>
              <c:showSerName val="0"/>
              <c:showPercent val="0"/>
              <c:showBubbleSize val="0"/>
              <c:extLst>
                <c:ext xmlns:c16="http://schemas.microsoft.com/office/drawing/2014/chart" uri="{C3380CC4-5D6E-409C-BE32-E72D297353CC}">
                  <c16:uniqueId val="{00000002-543A-4CF6-9813-341328C683F0}"/>
                </c:ext>
              </c:extLst>
            </c:dLbl>
            <c:dLbl>
              <c:idx val="4"/>
              <c:spPr>
                <a:noFill/>
                <a:ln>
                  <a:noFill/>
                </a:ln>
                <a:effectLst/>
              </c:spPr>
              <c:txPr>
                <a:bodyPr rot="-5400000" spcFirstLastPara="1" vertOverflow="ellipsis" wrap="square" lIns="38100" tIns="19050" rIns="38100" bIns="19050" anchor="ctr" anchorCtr="1">
                  <a:spAutoFit/>
                </a:bodyPr>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dLblPos val="inEnd"/>
              <c:showLegendKey val="0"/>
              <c:showVal val="1"/>
              <c:showCatName val="0"/>
              <c:showSerName val="0"/>
              <c:showPercent val="0"/>
              <c:showBubbleSize val="0"/>
              <c:extLst>
                <c:ext xmlns:c16="http://schemas.microsoft.com/office/drawing/2014/chart" uri="{C3380CC4-5D6E-409C-BE32-E72D297353CC}">
                  <c16:uniqueId val="{00000009-F5B9-43DC-8853-89CF1E6ACF35}"/>
                </c:ext>
              </c:extLst>
            </c:dLbl>
            <c:spPr>
              <a:noFill/>
              <a:ln>
                <a:noFill/>
              </a:ln>
              <a:effectLst/>
            </c:spPr>
            <c:txPr>
              <a:bodyPr rot="-5400000" spcFirstLastPara="1" vertOverflow="ellipsis" wrap="square" lIns="38100" tIns="19050" rIns="38100" bIns="19050" anchor="ctr" anchorCtr="1">
                <a:spAutoFit/>
              </a:bodyPr>
              <a:lstStyle/>
              <a:p>
                <a:pPr>
                  <a:defRPr sz="1600" b="1"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'Masters+30Units+10Years'!$B$27:$B$44</c:f>
              <c:strCache>
                <c:ptCount val="18"/>
                <c:pt idx="0">
                  <c:v>Kern Community College District (2023-2026)</c:v>
                </c:pt>
                <c:pt idx="1">
                  <c:v>College of the Sequoias (2024-2027)</c:v>
                </c:pt>
                <c:pt idx="2">
                  <c:v>State Center Community College District (2022-2025) + 3.3%</c:v>
                </c:pt>
                <c:pt idx="3">
                  <c:v>West Kern Community College District (Taft College) (2023-2026)</c:v>
                </c:pt>
                <c:pt idx="4">
                  <c:v>State Center Community College District (2022-2025) </c:v>
                </c:pt>
                <c:pt idx="5">
                  <c:v>Yosemite Community College District (2023-2026) </c:v>
                </c:pt>
                <c:pt idx="6">
                  <c:v>San Luis Obispo County Community College District (2023-2025)</c:v>
                </c:pt>
                <c:pt idx="7">
                  <c:v>Hartnell Community College District (2022-2025)</c:v>
                </c:pt>
                <c:pt idx="8">
                  <c:v>Monterey - Peninsula Community College District (2022-2025)</c:v>
                </c:pt>
                <c:pt idx="9">
                  <c:v>Gavilan Community College District (2024-2027)</c:v>
                </c:pt>
                <c:pt idx="10">
                  <c:v>Cabrillo Community College District (2022-2025)</c:v>
                </c:pt>
                <c:pt idx="11">
                  <c:v>Merced Community College District (2024-2027)</c:v>
                </c:pt>
                <c:pt idx="12">
                  <c:v>San Joaquin Delta CCD (2024-2027)</c:v>
                </c:pt>
                <c:pt idx="13">
                  <c:v>Contra Costa Community College District (2022-2025)</c:v>
                </c:pt>
                <c:pt idx="14">
                  <c:v>Los Rios Community College District (2023-2026)</c:v>
                </c:pt>
                <c:pt idx="15">
                  <c:v>West Hills Community College District (2022-2025) </c:v>
                </c:pt>
                <c:pt idx="16">
                  <c:v>Allan Hancock CCD (2024-2027)</c:v>
                </c:pt>
                <c:pt idx="17">
                  <c:v>Ventura County CCD (2022-2025)</c:v>
                </c:pt>
              </c:strCache>
            </c:strRef>
          </c:cat>
          <c:val>
            <c:numRef>
              <c:f>'Masters+30Units+10Years'!$C$27:$C$44</c:f>
              <c:numCache>
                <c:formatCode>_("$"* #,##0.00_);_("$"* \(#,##0.00\);_("$"* "-"??_);_(@_)</c:formatCode>
                <c:ptCount val="18"/>
                <c:pt idx="0">
                  <c:v>130686.33</c:v>
                </c:pt>
                <c:pt idx="1">
                  <c:v>120992.52</c:v>
                </c:pt>
                <c:pt idx="2">
                  <c:v>120713.281</c:v>
                </c:pt>
                <c:pt idx="3">
                  <c:v>118829</c:v>
                </c:pt>
                <c:pt idx="4">
                  <c:v>116857</c:v>
                </c:pt>
                <c:pt idx="5">
                  <c:v>116603</c:v>
                </c:pt>
                <c:pt idx="6">
                  <c:v>112613</c:v>
                </c:pt>
                <c:pt idx="7">
                  <c:v>111904</c:v>
                </c:pt>
                <c:pt idx="8">
                  <c:v>110947</c:v>
                </c:pt>
                <c:pt idx="9">
                  <c:v>110497.14</c:v>
                </c:pt>
                <c:pt idx="10">
                  <c:v>110252</c:v>
                </c:pt>
                <c:pt idx="11">
                  <c:v>109670</c:v>
                </c:pt>
                <c:pt idx="12">
                  <c:v>109147</c:v>
                </c:pt>
                <c:pt idx="13">
                  <c:v>106260</c:v>
                </c:pt>
                <c:pt idx="14">
                  <c:v>104772</c:v>
                </c:pt>
                <c:pt idx="15">
                  <c:v>103459</c:v>
                </c:pt>
                <c:pt idx="16">
                  <c:v>102134</c:v>
                </c:pt>
                <c:pt idx="17">
                  <c:v>92393</c:v>
                </c:pt>
              </c:numCache>
            </c:numRef>
          </c:val>
          <c:extLst>
            <c:ext xmlns:c16="http://schemas.microsoft.com/office/drawing/2014/chart" uri="{C3380CC4-5D6E-409C-BE32-E72D297353CC}">
              <c16:uniqueId val="{00000000-543A-4CF6-9813-341328C683F0}"/>
            </c:ext>
          </c:extLst>
        </c:ser>
        <c:dLbls>
          <c:dLblPos val="inEnd"/>
          <c:showLegendKey val="0"/>
          <c:showVal val="1"/>
          <c:showCatName val="0"/>
          <c:showSerName val="0"/>
          <c:showPercent val="0"/>
          <c:showBubbleSize val="0"/>
        </c:dLbls>
        <c:gapWidth val="65"/>
        <c:axId val="543060088"/>
        <c:axId val="543061728"/>
      </c:barChart>
      <c:catAx>
        <c:axId val="543060088"/>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n-US"/>
          </a:p>
        </c:txPr>
        <c:crossAx val="543061728"/>
        <c:crosses val="autoZero"/>
        <c:auto val="1"/>
        <c:lblAlgn val="ctr"/>
        <c:lblOffset val="100"/>
        <c:noMultiLvlLbl val="0"/>
      </c:catAx>
      <c:valAx>
        <c:axId val="543061728"/>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_(&quot;$&quot;* #,##0.00_);_(&quot;$&quot;* \(#,##0.00\);_(&quot;$&quot;* &quot;-&quot;??_);_(@_)" sourceLinked="1"/>
        <c:majorTickMark val="none"/>
        <c:minorTickMark val="none"/>
        <c:tickLblPos val="nextTo"/>
        <c:crossAx val="543060088"/>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n-US"/>
        </a:p>
      </c:txPr>
    </c:title>
    <c:autoTitleDeleted val="0"/>
    <c:plotArea>
      <c:layout/>
      <c:barChart>
        <c:barDir val="col"/>
        <c:grouping val="clustered"/>
        <c:varyColors val="0"/>
        <c:ser>
          <c:idx val="0"/>
          <c:order val="0"/>
          <c:tx>
            <c:strRef>
              <c:f>'Masters+60Units+20Years'!$C$26</c:f>
              <c:strCache>
                <c:ptCount val="1"/>
                <c:pt idx="0">
                  <c:v>MA + 60 Units + 20 Years </c:v>
                </c:pt>
              </c:strCache>
            </c:strRef>
          </c:tx>
          <c:spPr>
            <a:solidFill>
              <a:schemeClr val="tx2"/>
            </a:solidFill>
            <a:ln w="9525" cap="flat" cmpd="sng" algn="ctr">
              <a:solidFill>
                <a:schemeClr val="lt1">
                  <a:alpha val="50000"/>
                </a:schemeClr>
              </a:solidFill>
              <a:round/>
            </a:ln>
            <a:effectLst/>
          </c:spPr>
          <c:invertIfNegative val="0"/>
          <c:dPt>
            <c:idx val="1"/>
            <c:invertIfNegative val="0"/>
            <c:bubble3D val="0"/>
            <c:spPr>
              <a:solidFill>
                <a:schemeClr val="tx2"/>
              </a:solidFill>
              <a:ln w="9525" cap="flat" cmpd="sng" algn="ctr">
                <a:solidFill>
                  <a:schemeClr val="lt1">
                    <a:alpha val="50000"/>
                  </a:schemeClr>
                </a:solidFill>
                <a:round/>
              </a:ln>
              <a:effectLst/>
            </c:spPr>
            <c:extLst>
              <c:ext xmlns:c16="http://schemas.microsoft.com/office/drawing/2014/chart" uri="{C3380CC4-5D6E-409C-BE32-E72D297353CC}">
                <c16:uniqueId val="{00000005-8725-4DBA-9D03-FC24D590C91B}"/>
              </c:ext>
            </c:extLst>
          </c:dPt>
          <c:dPt>
            <c:idx val="2"/>
            <c:invertIfNegative val="0"/>
            <c:bubble3D val="0"/>
            <c:spPr>
              <a:solidFill>
                <a:schemeClr val="accent6">
                  <a:lumMod val="40000"/>
                  <a:lumOff val="60000"/>
                </a:schemeClr>
              </a:solidFill>
              <a:ln w="9525" cap="flat" cmpd="sng" algn="ctr">
                <a:solidFill>
                  <a:schemeClr val="lt1">
                    <a:alpha val="50000"/>
                  </a:schemeClr>
                </a:solidFill>
                <a:round/>
              </a:ln>
              <a:effectLst/>
            </c:spPr>
            <c:extLst>
              <c:ext xmlns:c16="http://schemas.microsoft.com/office/drawing/2014/chart" uri="{C3380CC4-5D6E-409C-BE32-E72D297353CC}">
                <c16:uniqueId val="{00000006-8725-4DBA-9D03-FC24D590C91B}"/>
              </c:ext>
            </c:extLst>
          </c:dPt>
          <c:dPt>
            <c:idx val="3"/>
            <c:invertIfNegative val="0"/>
            <c:bubble3D val="0"/>
            <c:spPr>
              <a:solidFill>
                <a:schemeClr val="tx2"/>
              </a:solidFill>
              <a:ln w="9525" cap="flat" cmpd="sng" algn="ctr">
                <a:solidFill>
                  <a:schemeClr val="lt1">
                    <a:alpha val="50000"/>
                  </a:schemeClr>
                </a:solidFill>
                <a:round/>
              </a:ln>
              <a:effectLst/>
            </c:spPr>
            <c:extLst>
              <c:ext xmlns:c16="http://schemas.microsoft.com/office/drawing/2014/chart" uri="{C3380CC4-5D6E-409C-BE32-E72D297353CC}">
                <c16:uniqueId val="{00000008-66E0-4C51-8517-644B2F2371AD}"/>
              </c:ext>
            </c:extLst>
          </c:dPt>
          <c:dPt>
            <c:idx val="4"/>
            <c:invertIfNegative val="0"/>
            <c:bubble3D val="0"/>
            <c:spPr>
              <a:solidFill>
                <a:schemeClr val="tx2"/>
              </a:solidFill>
              <a:ln w="9525" cap="flat" cmpd="sng" algn="ctr">
                <a:solidFill>
                  <a:schemeClr val="lt1">
                    <a:alpha val="50000"/>
                  </a:schemeClr>
                </a:solidFill>
                <a:round/>
              </a:ln>
              <a:effectLst/>
            </c:spPr>
            <c:extLst>
              <c:ext xmlns:c16="http://schemas.microsoft.com/office/drawing/2014/chart" uri="{C3380CC4-5D6E-409C-BE32-E72D297353CC}">
                <c16:uniqueId val="{0000000A-F12A-409C-B567-036764081BD6}"/>
              </c:ext>
            </c:extLst>
          </c:dPt>
          <c:dPt>
            <c:idx val="5"/>
            <c:invertIfNegative val="0"/>
            <c:bubble3D val="0"/>
            <c:spPr>
              <a:solidFill>
                <a:schemeClr val="tx2"/>
              </a:solidFill>
              <a:ln w="9525" cap="flat" cmpd="sng" algn="ctr">
                <a:solidFill>
                  <a:schemeClr val="lt1">
                    <a:alpha val="50000"/>
                  </a:schemeClr>
                </a:solidFill>
                <a:round/>
              </a:ln>
              <a:effectLst/>
            </c:spPr>
            <c:extLst>
              <c:ext xmlns:c16="http://schemas.microsoft.com/office/drawing/2014/chart" uri="{C3380CC4-5D6E-409C-BE32-E72D297353CC}">
                <c16:uniqueId val="{00000009-66E0-4C51-8517-644B2F2371AD}"/>
              </c:ext>
            </c:extLst>
          </c:dPt>
          <c:dPt>
            <c:idx val="7"/>
            <c:invertIfNegative val="0"/>
            <c:bubble3D val="0"/>
            <c:spPr>
              <a:solidFill>
                <a:srgbClr val="FFFF00"/>
              </a:solidFill>
              <a:ln w="9525" cap="flat" cmpd="sng" algn="ctr">
                <a:solidFill>
                  <a:schemeClr val="lt1">
                    <a:alpha val="50000"/>
                  </a:schemeClr>
                </a:solidFill>
                <a:round/>
              </a:ln>
              <a:effectLst/>
            </c:spPr>
            <c:extLst>
              <c:ext xmlns:c16="http://schemas.microsoft.com/office/drawing/2014/chart" uri="{C3380CC4-5D6E-409C-BE32-E72D297353CC}">
                <c16:uniqueId val="{00000010-C2EB-4EEB-9CA4-952F13E14C0B}"/>
              </c:ext>
            </c:extLst>
          </c:dPt>
          <c:dPt>
            <c:idx val="8"/>
            <c:invertIfNegative val="0"/>
            <c:bubble3D val="0"/>
            <c:spPr>
              <a:solidFill>
                <a:schemeClr val="tx2"/>
              </a:solidFill>
              <a:ln w="9525" cap="flat" cmpd="sng" algn="ctr">
                <a:solidFill>
                  <a:schemeClr val="lt1">
                    <a:alpha val="50000"/>
                  </a:schemeClr>
                </a:solidFill>
                <a:round/>
              </a:ln>
              <a:effectLst/>
            </c:spPr>
            <c:extLst>
              <c:ext xmlns:c16="http://schemas.microsoft.com/office/drawing/2014/chart" uri="{C3380CC4-5D6E-409C-BE32-E72D297353CC}">
                <c16:uniqueId val="{00000009-4365-4930-AC8A-81B62FB01ED3}"/>
              </c:ext>
            </c:extLst>
          </c:dPt>
          <c:dPt>
            <c:idx val="9"/>
            <c:invertIfNegative val="0"/>
            <c:bubble3D val="0"/>
            <c:spPr>
              <a:solidFill>
                <a:schemeClr val="tx2"/>
              </a:solidFill>
              <a:ln w="9525" cap="flat" cmpd="sng" algn="ctr">
                <a:solidFill>
                  <a:schemeClr val="lt1">
                    <a:alpha val="50000"/>
                  </a:schemeClr>
                </a:solidFill>
                <a:round/>
              </a:ln>
              <a:effectLst/>
            </c:spPr>
            <c:extLst>
              <c:ext xmlns:c16="http://schemas.microsoft.com/office/drawing/2014/chart" uri="{C3380CC4-5D6E-409C-BE32-E72D297353CC}">
                <c16:uniqueId val="{00000002-F615-4B83-9354-B3346E5170C9}"/>
              </c:ext>
            </c:extLst>
          </c:dPt>
          <c:dPt>
            <c:idx val="10"/>
            <c:invertIfNegative val="0"/>
            <c:bubble3D val="0"/>
            <c:extLst>
              <c:ext xmlns:c16="http://schemas.microsoft.com/office/drawing/2014/chart" uri="{C3380CC4-5D6E-409C-BE32-E72D297353CC}">
                <c16:uniqueId val="{00000003-1AC3-48CC-886D-0F8A1A78DE34}"/>
              </c:ext>
            </c:extLst>
          </c:dPt>
          <c:dLbls>
            <c:dLbl>
              <c:idx val="2"/>
              <c:spPr>
                <a:noFill/>
                <a:ln>
                  <a:noFill/>
                </a:ln>
                <a:effectLst/>
              </c:spPr>
              <c:txPr>
                <a:bodyPr rot="-5400000" spcFirstLastPara="1" vertOverflow="ellipsis" wrap="square" lIns="38100" tIns="19050" rIns="38100" bIns="19050" anchor="ctr" anchorCtr="1">
                  <a:spAutoFit/>
                </a:bodyPr>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dLblPos val="inEnd"/>
              <c:showLegendKey val="0"/>
              <c:showVal val="1"/>
              <c:showCatName val="0"/>
              <c:showSerName val="0"/>
              <c:showPercent val="0"/>
              <c:showBubbleSize val="0"/>
              <c:extLst>
                <c:ext xmlns:c16="http://schemas.microsoft.com/office/drawing/2014/chart" uri="{C3380CC4-5D6E-409C-BE32-E72D297353CC}">
                  <c16:uniqueId val="{00000006-8725-4DBA-9D03-FC24D590C91B}"/>
                </c:ext>
              </c:extLst>
            </c:dLbl>
            <c:dLbl>
              <c:idx val="6"/>
              <c:tx>
                <c:rich>
                  <a:bodyPr rot="-5400000" spcFirstLastPara="1" vertOverflow="ellipsis" wrap="square" lIns="38100" tIns="19050" rIns="38100" bIns="19050" anchor="ctr" anchorCtr="1">
                    <a:spAutoFit/>
                  </a:bodyPr>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fld id="{51A807C5-7827-47F3-BCAB-E406C41C3F5F}" type="VALUE">
                      <a:rPr lang="en-US">
                        <a:solidFill>
                          <a:schemeClr val="bg1"/>
                        </a:solidFill>
                      </a:rPr>
                      <a:pPr>
                        <a:defRPr sz="1400">
                          <a:solidFill>
                            <a:sysClr val="windowText" lastClr="000000"/>
                          </a:solidFill>
                          <a:latin typeface="Arial" panose="020B0604020202020204" pitchFamily="34" charset="0"/>
                          <a:cs typeface="Arial" panose="020B0604020202020204" pitchFamily="34" charset="0"/>
                        </a:defRPr>
                      </a:pPr>
                      <a:t>[VALUE]</a:t>
                    </a:fld>
                    <a:endParaRPr lang="en-US"/>
                  </a:p>
                </c:rich>
              </c:tx>
              <c:spPr>
                <a:noFill/>
                <a:ln>
                  <a:noFill/>
                </a:ln>
                <a:effectLst/>
              </c:spPr>
              <c:txPr>
                <a:bodyPr rot="-5400000" spcFirstLastPara="1" vertOverflow="ellipsis" wrap="square" lIns="38100" tIns="19050" rIns="38100" bIns="19050" anchor="ctr" anchorCtr="1">
                  <a:spAutoFit/>
                </a:bodyPr>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dLblPos val="inEnd"/>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F-C2EB-4EEB-9CA4-952F13E14C0B}"/>
                </c:ext>
              </c:extLst>
            </c:dLbl>
            <c:dLbl>
              <c:idx val="7"/>
              <c:spPr>
                <a:noFill/>
                <a:ln>
                  <a:noFill/>
                </a:ln>
                <a:effectLst/>
              </c:spPr>
              <c:txPr>
                <a:bodyPr rot="-5400000" spcFirstLastPara="1" vertOverflow="ellipsis" wrap="square" lIns="38100" tIns="19050" rIns="38100" bIns="19050" anchor="ctr" anchorCtr="1">
                  <a:spAutoFit/>
                </a:bodyPr>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dLblPos val="inEnd"/>
              <c:showLegendKey val="0"/>
              <c:showVal val="1"/>
              <c:showCatName val="0"/>
              <c:showSerName val="0"/>
              <c:showPercent val="0"/>
              <c:showBubbleSize val="0"/>
              <c:extLst>
                <c:ext xmlns:c16="http://schemas.microsoft.com/office/drawing/2014/chart" uri="{C3380CC4-5D6E-409C-BE32-E72D297353CC}">
                  <c16:uniqueId val="{00000010-C2EB-4EEB-9CA4-952F13E14C0B}"/>
                </c:ext>
              </c:extLst>
            </c:dLbl>
            <c:spPr>
              <a:noFill/>
              <a:ln>
                <a:noFill/>
              </a:ln>
              <a:effectLst/>
            </c:spPr>
            <c:txPr>
              <a:bodyPr rot="-5400000" spcFirstLastPara="1" vertOverflow="ellipsis" wrap="square" lIns="38100" tIns="19050" rIns="38100" bIns="19050" anchor="ctr" anchorCtr="1">
                <a:spAutoFit/>
              </a:bodyPr>
              <a:lstStyle/>
              <a:p>
                <a:pPr>
                  <a:defRPr sz="1400" b="1"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'Masters+60Units+20Years'!$B$27:$B$44</c:f>
              <c:strCache>
                <c:ptCount val="18"/>
                <c:pt idx="0">
                  <c:v>College of the Sequoias (2024-2027)</c:v>
                </c:pt>
                <c:pt idx="1">
                  <c:v>West Hills Community College District (2022-2025) </c:v>
                </c:pt>
                <c:pt idx="2">
                  <c:v>State Center Community College District (2022-2025) + 3.3%</c:v>
                </c:pt>
                <c:pt idx="3">
                  <c:v>Merced Community College District (2024-2027)</c:v>
                </c:pt>
                <c:pt idx="4">
                  <c:v>Kern Community College District (2023-2026)</c:v>
                </c:pt>
                <c:pt idx="5">
                  <c:v>West Kern Community College District (Taft College) (2023-2026)</c:v>
                </c:pt>
                <c:pt idx="6">
                  <c:v>San Joaquin Delta CCD (2024-2027)</c:v>
                </c:pt>
                <c:pt idx="7">
                  <c:v>State Center Community College District (2022-2025) </c:v>
                </c:pt>
                <c:pt idx="8">
                  <c:v>Hartnell Community College District (2022-2025)</c:v>
                </c:pt>
                <c:pt idx="9">
                  <c:v>Yosemite Community College District (2023-2026) </c:v>
                </c:pt>
                <c:pt idx="10">
                  <c:v>San Luis Obispo County Community College District (2023-2025)</c:v>
                </c:pt>
                <c:pt idx="11">
                  <c:v>Cabrillo Community College District (2022-2025)</c:v>
                </c:pt>
                <c:pt idx="12">
                  <c:v>Gavilan Community College District (2024-2027)</c:v>
                </c:pt>
                <c:pt idx="13">
                  <c:v>Los Rios Community College District (2023-2026)</c:v>
                </c:pt>
                <c:pt idx="14">
                  <c:v>Monterey - Peninsula Community College District (2022-2025)</c:v>
                </c:pt>
                <c:pt idx="15">
                  <c:v>Ventura County CCD (2022-2025)</c:v>
                </c:pt>
                <c:pt idx="16">
                  <c:v>Contra Costa Community College District (2022-2025)</c:v>
                </c:pt>
                <c:pt idx="17">
                  <c:v>Allan Hancock CCD (2024-2027)</c:v>
                </c:pt>
              </c:strCache>
            </c:strRef>
          </c:cat>
          <c:val>
            <c:numRef>
              <c:f>'Masters+60Units+20Years'!$C$27:$C$44</c:f>
              <c:numCache>
                <c:formatCode>_("$"* #,##0.00_);_("$"* \(#,##0.00\);_("$"* "-"??_);_(@_)</c:formatCode>
                <c:ptCount val="18"/>
                <c:pt idx="0">
                  <c:v>154352.71</c:v>
                </c:pt>
                <c:pt idx="1">
                  <c:v>146065.96</c:v>
                </c:pt>
                <c:pt idx="2">
                  <c:v>144637.56099999999</c:v>
                </c:pt>
                <c:pt idx="3">
                  <c:v>142608</c:v>
                </c:pt>
                <c:pt idx="4">
                  <c:v>141663</c:v>
                </c:pt>
                <c:pt idx="5">
                  <c:v>141259</c:v>
                </c:pt>
                <c:pt idx="6">
                  <c:v>140017</c:v>
                </c:pt>
                <c:pt idx="7">
                  <c:v>136697.17000000001</c:v>
                </c:pt>
                <c:pt idx="8">
                  <c:v>136030</c:v>
                </c:pt>
                <c:pt idx="9">
                  <c:v>135685</c:v>
                </c:pt>
                <c:pt idx="10">
                  <c:v>135222</c:v>
                </c:pt>
                <c:pt idx="11">
                  <c:v>133679</c:v>
                </c:pt>
                <c:pt idx="12">
                  <c:v>131064</c:v>
                </c:pt>
                <c:pt idx="13">
                  <c:v>127485</c:v>
                </c:pt>
                <c:pt idx="14">
                  <c:v>126360</c:v>
                </c:pt>
                <c:pt idx="15">
                  <c:v>126300</c:v>
                </c:pt>
                <c:pt idx="16">
                  <c:v>122569.3</c:v>
                </c:pt>
                <c:pt idx="17">
                  <c:v>118541</c:v>
                </c:pt>
              </c:numCache>
            </c:numRef>
          </c:val>
          <c:extLst>
            <c:ext xmlns:c16="http://schemas.microsoft.com/office/drawing/2014/chart" uri="{C3380CC4-5D6E-409C-BE32-E72D297353CC}">
              <c16:uniqueId val="{00000000-F615-4B83-9354-B3346E5170C9}"/>
            </c:ext>
          </c:extLst>
        </c:ser>
        <c:dLbls>
          <c:dLblPos val="inEnd"/>
          <c:showLegendKey val="0"/>
          <c:showVal val="1"/>
          <c:showCatName val="0"/>
          <c:showSerName val="0"/>
          <c:showPercent val="0"/>
          <c:showBubbleSize val="0"/>
        </c:dLbls>
        <c:gapWidth val="65"/>
        <c:axId val="545142520"/>
        <c:axId val="545147440"/>
      </c:barChart>
      <c:catAx>
        <c:axId val="545142520"/>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n-US"/>
          </a:p>
        </c:txPr>
        <c:crossAx val="545147440"/>
        <c:crosses val="autoZero"/>
        <c:auto val="1"/>
        <c:lblAlgn val="ctr"/>
        <c:lblOffset val="100"/>
        <c:noMultiLvlLbl val="0"/>
      </c:catAx>
      <c:valAx>
        <c:axId val="545147440"/>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_(&quot;$&quot;* #,##0.00_);_(&quot;$&quot;* \(#,##0.00\);_(&quot;$&quot;* &quot;-&quot;??_);_(@_)" sourceLinked="1"/>
        <c:majorTickMark val="none"/>
        <c:minorTickMark val="none"/>
        <c:tickLblPos val="nextTo"/>
        <c:crossAx val="545142520"/>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a:t>Faculty High Salary (MA+) </a:t>
            </a:r>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n-US"/>
        </a:p>
      </c:txPr>
    </c:title>
    <c:autoTitleDeleted val="0"/>
    <c:plotArea>
      <c:layout/>
      <c:barChart>
        <c:barDir val="col"/>
        <c:grouping val="clustered"/>
        <c:varyColors val="0"/>
        <c:ser>
          <c:idx val="0"/>
          <c:order val="0"/>
          <c:tx>
            <c:strRef>
              <c:f>'Salary High (MA+)'!$C$26</c:f>
              <c:strCache>
                <c:ptCount val="1"/>
                <c:pt idx="0">
                  <c:v> High Salary (MA+) </c:v>
                </c:pt>
              </c:strCache>
            </c:strRef>
          </c:tx>
          <c:spPr>
            <a:solidFill>
              <a:schemeClr val="tx2"/>
            </a:solidFill>
            <a:ln w="9525" cap="flat" cmpd="sng" algn="ctr">
              <a:solidFill>
                <a:schemeClr val="tx2"/>
              </a:solidFill>
              <a:round/>
            </a:ln>
            <a:effectLst/>
          </c:spPr>
          <c:invertIfNegative val="0"/>
          <c:dPt>
            <c:idx val="0"/>
            <c:invertIfNegative val="0"/>
            <c:bubble3D val="0"/>
            <c:spPr>
              <a:solidFill>
                <a:schemeClr val="tx2"/>
              </a:solidFill>
              <a:ln w="9525" cap="flat" cmpd="sng" algn="ctr">
                <a:solidFill>
                  <a:schemeClr val="tx2"/>
                </a:solidFill>
                <a:round/>
              </a:ln>
              <a:effectLst/>
            </c:spPr>
            <c:extLst>
              <c:ext xmlns:c16="http://schemas.microsoft.com/office/drawing/2014/chart" uri="{C3380CC4-5D6E-409C-BE32-E72D297353CC}">
                <c16:uniqueId val="{00000001-6AF3-415C-9BD5-8DBCB6EB569A}"/>
              </c:ext>
            </c:extLst>
          </c:dPt>
          <c:dPt>
            <c:idx val="1"/>
            <c:invertIfNegative val="0"/>
            <c:bubble3D val="0"/>
            <c:spPr>
              <a:solidFill>
                <a:schemeClr val="tx2"/>
              </a:solidFill>
              <a:ln w="9525" cap="flat" cmpd="sng" algn="ctr">
                <a:solidFill>
                  <a:schemeClr val="tx2"/>
                </a:solidFill>
                <a:round/>
              </a:ln>
              <a:effectLst/>
            </c:spPr>
            <c:extLst>
              <c:ext xmlns:c16="http://schemas.microsoft.com/office/drawing/2014/chart" uri="{C3380CC4-5D6E-409C-BE32-E72D297353CC}">
                <c16:uniqueId val="{00000004-B786-43FB-A727-87F5328BD9A5}"/>
              </c:ext>
            </c:extLst>
          </c:dPt>
          <c:dPt>
            <c:idx val="2"/>
            <c:invertIfNegative val="0"/>
            <c:bubble3D val="0"/>
            <c:spPr>
              <a:solidFill>
                <a:schemeClr val="accent6">
                  <a:lumMod val="40000"/>
                  <a:lumOff val="60000"/>
                </a:schemeClr>
              </a:solidFill>
              <a:ln w="9525" cap="flat" cmpd="sng" algn="ctr">
                <a:solidFill>
                  <a:schemeClr val="tx2"/>
                </a:solidFill>
                <a:round/>
              </a:ln>
              <a:effectLst/>
            </c:spPr>
            <c:extLst>
              <c:ext xmlns:c16="http://schemas.microsoft.com/office/drawing/2014/chart" uri="{C3380CC4-5D6E-409C-BE32-E72D297353CC}">
                <c16:uniqueId val="{00000005-8A90-4147-AE91-09DBE3CDDC77}"/>
              </c:ext>
            </c:extLst>
          </c:dPt>
          <c:dPt>
            <c:idx val="3"/>
            <c:invertIfNegative val="0"/>
            <c:bubble3D val="0"/>
            <c:spPr>
              <a:solidFill>
                <a:schemeClr val="tx2"/>
              </a:solidFill>
              <a:ln w="9525" cap="flat" cmpd="sng" algn="ctr">
                <a:solidFill>
                  <a:schemeClr val="tx2"/>
                </a:solidFill>
                <a:round/>
              </a:ln>
              <a:effectLst/>
            </c:spPr>
            <c:extLst>
              <c:ext xmlns:c16="http://schemas.microsoft.com/office/drawing/2014/chart" uri="{C3380CC4-5D6E-409C-BE32-E72D297353CC}">
                <c16:uniqueId val="{00000006-673B-4A0E-8076-9A9926229BFF}"/>
              </c:ext>
            </c:extLst>
          </c:dPt>
          <c:dPt>
            <c:idx val="4"/>
            <c:invertIfNegative val="0"/>
            <c:bubble3D val="0"/>
            <c:spPr>
              <a:solidFill>
                <a:schemeClr val="tx2"/>
              </a:solidFill>
              <a:ln w="9525" cap="flat" cmpd="sng" algn="ctr">
                <a:noFill/>
                <a:round/>
              </a:ln>
              <a:effectLst/>
            </c:spPr>
            <c:extLst>
              <c:ext xmlns:c16="http://schemas.microsoft.com/office/drawing/2014/chart" uri="{C3380CC4-5D6E-409C-BE32-E72D297353CC}">
                <c16:uniqueId val="{00000007-673B-4A0E-8076-9A9926229BFF}"/>
              </c:ext>
            </c:extLst>
          </c:dPt>
          <c:dPt>
            <c:idx val="5"/>
            <c:invertIfNegative val="0"/>
            <c:bubble3D val="0"/>
            <c:spPr>
              <a:solidFill>
                <a:schemeClr val="tx2"/>
              </a:solidFill>
              <a:ln w="9525" cap="flat" cmpd="sng" algn="ctr">
                <a:solidFill>
                  <a:schemeClr val="tx2"/>
                </a:solidFill>
                <a:round/>
              </a:ln>
              <a:effectLst/>
            </c:spPr>
            <c:extLst>
              <c:ext xmlns:c16="http://schemas.microsoft.com/office/drawing/2014/chart" uri="{C3380CC4-5D6E-409C-BE32-E72D297353CC}">
                <c16:uniqueId val="{00000008-673B-4A0E-8076-9A9926229BFF}"/>
              </c:ext>
            </c:extLst>
          </c:dPt>
          <c:dPt>
            <c:idx val="6"/>
            <c:invertIfNegative val="0"/>
            <c:bubble3D val="0"/>
            <c:spPr>
              <a:solidFill>
                <a:schemeClr val="tx2"/>
              </a:solidFill>
              <a:ln w="9525" cap="flat" cmpd="sng" algn="ctr">
                <a:solidFill>
                  <a:schemeClr val="tx2"/>
                </a:solidFill>
                <a:round/>
              </a:ln>
              <a:effectLst/>
            </c:spPr>
            <c:extLst>
              <c:ext xmlns:c16="http://schemas.microsoft.com/office/drawing/2014/chart" uri="{C3380CC4-5D6E-409C-BE32-E72D297353CC}">
                <c16:uniqueId val="{00000005-FDF1-4451-A164-948DA9BC9A64}"/>
              </c:ext>
            </c:extLst>
          </c:dPt>
          <c:dPt>
            <c:idx val="7"/>
            <c:invertIfNegative val="0"/>
            <c:bubble3D val="0"/>
            <c:spPr>
              <a:solidFill>
                <a:srgbClr val="FFFF00"/>
              </a:solidFill>
              <a:ln w="9525" cap="flat" cmpd="sng" algn="ctr">
                <a:solidFill>
                  <a:schemeClr val="tx2"/>
                </a:solidFill>
                <a:round/>
              </a:ln>
              <a:effectLst/>
            </c:spPr>
            <c:extLst>
              <c:ext xmlns:c16="http://schemas.microsoft.com/office/drawing/2014/chart" uri="{C3380CC4-5D6E-409C-BE32-E72D297353CC}">
                <c16:uniqueId val="{00000009-673B-4A0E-8076-9A9926229BFF}"/>
              </c:ext>
            </c:extLst>
          </c:dPt>
          <c:dPt>
            <c:idx val="8"/>
            <c:invertIfNegative val="0"/>
            <c:bubble3D val="0"/>
            <c:spPr>
              <a:solidFill>
                <a:schemeClr val="tx2"/>
              </a:solidFill>
              <a:ln w="9525" cap="flat" cmpd="sng" algn="ctr">
                <a:solidFill>
                  <a:schemeClr val="tx2"/>
                </a:solidFill>
                <a:round/>
              </a:ln>
              <a:effectLst/>
            </c:spPr>
            <c:extLst>
              <c:ext xmlns:c16="http://schemas.microsoft.com/office/drawing/2014/chart" uri="{C3380CC4-5D6E-409C-BE32-E72D297353CC}">
                <c16:uniqueId val="{0000000A-673B-4A0E-8076-9A9926229BFF}"/>
              </c:ext>
            </c:extLst>
          </c:dPt>
          <c:dPt>
            <c:idx val="9"/>
            <c:invertIfNegative val="0"/>
            <c:bubble3D val="0"/>
            <c:spPr>
              <a:solidFill>
                <a:schemeClr val="tx2"/>
              </a:solidFill>
              <a:ln w="9525" cap="flat" cmpd="sng" algn="ctr">
                <a:solidFill>
                  <a:schemeClr val="tx2"/>
                </a:solidFill>
                <a:round/>
              </a:ln>
              <a:effectLst/>
            </c:spPr>
            <c:extLst>
              <c:ext xmlns:c16="http://schemas.microsoft.com/office/drawing/2014/chart" uri="{C3380CC4-5D6E-409C-BE32-E72D297353CC}">
                <c16:uniqueId val="{0000000B-673B-4A0E-8076-9A9926229BFF}"/>
              </c:ext>
            </c:extLst>
          </c:dPt>
          <c:dPt>
            <c:idx val="10"/>
            <c:invertIfNegative val="0"/>
            <c:bubble3D val="0"/>
            <c:spPr>
              <a:solidFill>
                <a:schemeClr val="tx2"/>
              </a:solidFill>
              <a:ln w="9525" cap="flat" cmpd="sng" algn="ctr">
                <a:solidFill>
                  <a:schemeClr val="tx2"/>
                </a:solidFill>
                <a:round/>
              </a:ln>
              <a:effectLst/>
            </c:spPr>
            <c:extLst>
              <c:ext xmlns:c16="http://schemas.microsoft.com/office/drawing/2014/chart" uri="{C3380CC4-5D6E-409C-BE32-E72D297353CC}">
                <c16:uniqueId val="{0000000C-673B-4A0E-8076-9A9926229BFF}"/>
              </c:ext>
            </c:extLst>
          </c:dPt>
          <c:dPt>
            <c:idx val="11"/>
            <c:invertIfNegative val="0"/>
            <c:bubble3D val="0"/>
            <c:spPr>
              <a:solidFill>
                <a:schemeClr val="tx2"/>
              </a:solidFill>
              <a:ln w="9525" cap="flat" cmpd="sng" algn="ctr">
                <a:solidFill>
                  <a:schemeClr val="tx2"/>
                </a:solidFill>
                <a:round/>
              </a:ln>
              <a:effectLst/>
            </c:spPr>
            <c:extLst>
              <c:ext xmlns:c16="http://schemas.microsoft.com/office/drawing/2014/chart" uri="{C3380CC4-5D6E-409C-BE32-E72D297353CC}">
                <c16:uniqueId val="{0000000D-673B-4A0E-8076-9A9926229BFF}"/>
              </c:ext>
            </c:extLst>
          </c:dPt>
          <c:dPt>
            <c:idx val="12"/>
            <c:invertIfNegative val="0"/>
            <c:bubble3D val="0"/>
            <c:spPr>
              <a:solidFill>
                <a:schemeClr val="tx2"/>
              </a:solidFill>
              <a:ln w="9525" cap="flat" cmpd="sng" algn="ctr">
                <a:solidFill>
                  <a:schemeClr val="tx2"/>
                </a:solidFill>
                <a:round/>
              </a:ln>
              <a:effectLst/>
            </c:spPr>
            <c:extLst>
              <c:ext xmlns:c16="http://schemas.microsoft.com/office/drawing/2014/chart" uri="{C3380CC4-5D6E-409C-BE32-E72D297353CC}">
                <c16:uniqueId val="{0000000E-673B-4A0E-8076-9A9926229BFF}"/>
              </c:ext>
            </c:extLst>
          </c:dPt>
          <c:dLbls>
            <c:dLbl>
              <c:idx val="2"/>
              <c:spPr>
                <a:noFill/>
                <a:ln>
                  <a:noFill/>
                </a:ln>
                <a:effectLst/>
              </c:spPr>
              <c:txPr>
                <a:bodyPr rot="-5400000" spcFirstLastPara="1" vertOverflow="ellipsis" wrap="square" lIns="38100" tIns="19050" rIns="38100" bIns="19050" anchor="ctr" anchorCtr="1">
                  <a:spAutoFit/>
                </a:bodyPr>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dLblPos val="inEnd"/>
              <c:showLegendKey val="0"/>
              <c:showVal val="1"/>
              <c:showCatName val="0"/>
              <c:showSerName val="0"/>
              <c:showPercent val="0"/>
              <c:showBubbleSize val="0"/>
              <c:extLst>
                <c:ext xmlns:c16="http://schemas.microsoft.com/office/drawing/2014/chart" uri="{C3380CC4-5D6E-409C-BE32-E72D297353CC}">
                  <c16:uniqueId val="{00000005-8A90-4147-AE91-09DBE3CDDC77}"/>
                </c:ext>
              </c:extLst>
            </c:dLbl>
            <c:dLbl>
              <c:idx val="7"/>
              <c:spPr>
                <a:noFill/>
                <a:ln>
                  <a:noFill/>
                </a:ln>
                <a:effectLst/>
              </c:spPr>
              <c:txPr>
                <a:bodyPr rot="-5400000" spcFirstLastPara="1" vertOverflow="ellipsis" wrap="square" lIns="38100" tIns="19050" rIns="38100" bIns="19050" anchor="ctr" anchorCtr="1">
                  <a:spAutoFit/>
                </a:bodyPr>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dLblPos val="inEnd"/>
              <c:showLegendKey val="0"/>
              <c:showVal val="1"/>
              <c:showCatName val="0"/>
              <c:showSerName val="0"/>
              <c:showPercent val="0"/>
              <c:showBubbleSize val="0"/>
              <c:extLst>
                <c:ext xmlns:c16="http://schemas.microsoft.com/office/drawing/2014/chart" uri="{C3380CC4-5D6E-409C-BE32-E72D297353CC}">
                  <c16:uniqueId val="{00000009-673B-4A0E-8076-9A9926229BFF}"/>
                </c:ext>
              </c:extLst>
            </c:dLbl>
            <c:spPr>
              <a:noFill/>
              <a:ln>
                <a:noFill/>
              </a:ln>
              <a:effectLst/>
            </c:spPr>
            <c:txPr>
              <a:bodyPr rot="-5400000" spcFirstLastPara="1" vertOverflow="ellipsis" wrap="square" lIns="38100" tIns="19050" rIns="38100" bIns="19050" anchor="ctr" anchorCtr="1">
                <a:spAutoFit/>
              </a:bodyPr>
              <a:lstStyle/>
              <a:p>
                <a:pPr>
                  <a:defRPr sz="1400" b="1"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'Salary High (MA+)'!$B$27:$B$44</c:f>
              <c:strCache>
                <c:ptCount val="18"/>
                <c:pt idx="0">
                  <c:v>College of the Sequoias (2024-2027)</c:v>
                </c:pt>
                <c:pt idx="1">
                  <c:v>West Hills Community College District (2022-2025) </c:v>
                </c:pt>
                <c:pt idx="2">
                  <c:v>State Center Community College District (2022-2025) + 3.3%</c:v>
                </c:pt>
                <c:pt idx="3">
                  <c:v>Merced Community College District (2024-2027)</c:v>
                </c:pt>
                <c:pt idx="4">
                  <c:v>Kern Community College District (2023-2026)</c:v>
                </c:pt>
                <c:pt idx="5">
                  <c:v>West Kern Community College District (Taft College) (2023-2026)</c:v>
                </c:pt>
                <c:pt idx="6">
                  <c:v>San Joaquin Delta CCD (2024-2027)</c:v>
                </c:pt>
                <c:pt idx="7">
                  <c:v>State Center Community College District (2022-2025) </c:v>
                </c:pt>
                <c:pt idx="8">
                  <c:v>Hartnell Community College District (2022-2025)</c:v>
                </c:pt>
                <c:pt idx="9">
                  <c:v>Yosemite Community College District (2023-2026) </c:v>
                </c:pt>
                <c:pt idx="10">
                  <c:v>San Luis Obispo County Community College District (2023-2025)</c:v>
                </c:pt>
                <c:pt idx="11">
                  <c:v>Cabrillo Community College District (2022-2025)</c:v>
                </c:pt>
                <c:pt idx="12">
                  <c:v>Gavilan Community College District (2024-2027)</c:v>
                </c:pt>
                <c:pt idx="13">
                  <c:v>Los Rios Community College District (2023-2026)</c:v>
                </c:pt>
                <c:pt idx="14">
                  <c:v>Monterey - Peninsula Community College District (2022-2025)</c:v>
                </c:pt>
                <c:pt idx="15">
                  <c:v>Ventura County CCD (2022-2025)</c:v>
                </c:pt>
                <c:pt idx="16">
                  <c:v>Contra Costa Community College District (2022-2025)</c:v>
                </c:pt>
                <c:pt idx="17">
                  <c:v>Allan Hancock CCD (2024-2027)</c:v>
                </c:pt>
              </c:strCache>
            </c:strRef>
          </c:cat>
          <c:val>
            <c:numRef>
              <c:f>'Salary High (MA+)'!$C$27:$C$44</c:f>
              <c:numCache>
                <c:formatCode>_("$"* #,##0.00_);_("$"* \(#,##0.00\);_("$"* "-"??_);_(@_)</c:formatCode>
                <c:ptCount val="18"/>
                <c:pt idx="0">
                  <c:v>184165.24</c:v>
                </c:pt>
                <c:pt idx="1">
                  <c:v>160191</c:v>
                </c:pt>
                <c:pt idx="2">
                  <c:v>155995.39600000001</c:v>
                </c:pt>
                <c:pt idx="3">
                  <c:v>154982</c:v>
                </c:pt>
                <c:pt idx="4">
                  <c:v>154352.71</c:v>
                </c:pt>
                <c:pt idx="5">
                  <c:v>149099</c:v>
                </c:pt>
                <c:pt idx="6">
                  <c:v>147880</c:v>
                </c:pt>
                <c:pt idx="7">
                  <c:v>147346</c:v>
                </c:pt>
                <c:pt idx="8">
                  <c:v>144970</c:v>
                </c:pt>
                <c:pt idx="9">
                  <c:v>141835</c:v>
                </c:pt>
                <c:pt idx="10">
                  <c:v>141663</c:v>
                </c:pt>
                <c:pt idx="11">
                  <c:v>140601</c:v>
                </c:pt>
                <c:pt idx="12">
                  <c:v>139768.37</c:v>
                </c:pt>
                <c:pt idx="13">
                  <c:v>137884</c:v>
                </c:pt>
                <c:pt idx="14">
                  <c:v>137554</c:v>
                </c:pt>
                <c:pt idx="15">
                  <c:v>132423.79999999999</c:v>
                </c:pt>
                <c:pt idx="16">
                  <c:v>132264</c:v>
                </c:pt>
                <c:pt idx="17">
                  <c:v>127485</c:v>
                </c:pt>
              </c:numCache>
            </c:numRef>
          </c:val>
          <c:extLst>
            <c:ext xmlns:c16="http://schemas.microsoft.com/office/drawing/2014/chart" uri="{C3380CC4-5D6E-409C-BE32-E72D297353CC}">
              <c16:uniqueId val="{0000000B-FDF1-4451-A164-948DA9BC9A64}"/>
            </c:ext>
          </c:extLst>
        </c:ser>
        <c:dLbls>
          <c:dLblPos val="inEnd"/>
          <c:showLegendKey val="0"/>
          <c:showVal val="1"/>
          <c:showCatName val="0"/>
          <c:showSerName val="0"/>
          <c:showPercent val="0"/>
          <c:showBubbleSize val="0"/>
        </c:dLbls>
        <c:gapWidth val="20"/>
        <c:axId val="616795168"/>
        <c:axId val="616794776"/>
      </c:barChart>
      <c:catAx>
        <c:axId val="616795168"/>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n-US"/>
          </a:p>
        </c:txPr>
        <c:crossAx val="616794776"/>
        <c:crosses val="autoZero"/>
        <c:auto val="1"/>
        <c:lblAlgn val="ctr"/>
        <c:lblOffset val="100"/>
        <c:noMultiLvlLbl val="0"/>
      </c:catAx>
      <c:valAx>
        <c:axId val="616794776"/>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_(&quot;$&quot;* #,##0.00_);_(&quot;$&quot;* \(#,##0.00\);_(&quot;$&quot;* &quot;-&quot;??_);_(@_)" sourceLinked="1"/>
        <c:majorTickMark val="none"/>
        <c:minorTickMark val="none"/>
        <c:tickLblPos val="nextTo"/>
        <c:crossAx val="616795168"/>
        <c:crosses val="autoZero"/>
        <c:crossBetween val="between"/>
      </c:valAx>
      <c:spPr>
        <a:noFill/>
        <a:ln>
          <a:noFill/>
        </a:ln>
        <a:effectLst/>
      </c:spPr>
    </c:plotArea>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n-US"/>
    </a:p>
  </c:txPr>
  <c:printSettings>
    <c:headerFooter/>
    <c:pageMargins b="0.75000000000000011" l="0.70000000000000007" r="0.70000000000000007" t="0.75000000000000011" header="0.30000000000000004" footer="0.30000000000000004"/>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a:t> Faculty High Salary (Doctorate)</a:t>
            </a:r>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n-US"/>
        </a:p>
      </c:txPr>
    </c:title>
    <c:autoTitleDeleted val="0"/>
    <c:plotArea>
      <c:layout/>
      <c:barChart>
        <c:barDir val="col"/>
        <c:grouping val="clustered"/>
        <c:varyColors val="0"/>
        <c:ser>
          <c:idx val="0"/>
          <c:order val="0"/>
          <c:tx>
            <c:strRef>
              <c:f>'Salary Doctorate'!$C$21</c:f>
              <c:strCache>
                <c:ptCount val="1"/>
                <c:pt idx="0">
                  <c:v>High Salary (Doctorate)</c:v>
                </c:pt>
              </c:strCache>
            </c:strRef>
          </c:tx>
          <c:spPr>
            <a:solidFill>
              <a:schemeClr val="tx2"/>
            </a:solidFill>
            <a:ln w="9525" cap="flat" cmpd="sng" algn="ctr">
              <a:solidFill>
                <a:schemeClr val="tx2">
                  <a:alpha val="50000"/>
                </a:schemeClr>
              </a:solidFill>
              <a:round/>
            </a:ln>
            <a:effectLst/>
          </c:spPr>
          <c:invertIfNegative val="0"/>
          <c:dPt>
            <c:idx val="0"/>
            <c:invertIfNegative val="0"/>
            <c:bubble3D val="0"/>
            <c:extLst>
              <c:ext xmlns:c16="http://schemas.microsoft.com/office/drawing/2014/chart" uri="{C3380CC4-5D6E-409C-BE32-E72D297353CC}">
                <c16:uniqueId val="{00000001-A174-42AE-98DC-0DE5A2ADEBD1}"/>
              </c:ext>
            </c:extLst>
          </c:dPt>
          <c:dPt>
            <c:idx val="1"/>
            <c:invertIfNegative val="0"/>
            <c:bubble3D val="0"/>
            <c:extLst>
              <c:ext xmlns:c16="http://schemas.microsoft.com/office/drawing/2014/chart" uri="{C3380CC4-5D6E-409C-BE32-E72D297353CC}">
                <c16:uniqueId val="{00000004-A7A9-40A7-89A9-F073BC51CC69}"/>
              </c:ext>
            </c:extLst>
          </c:dPt>
          <c:dPt>
            <c:idx val="2"/>
            <c:invertIfNegative val="0"/>
            <c:bubble3D val="0"/>
            <c:spPr>
              <a:solidFill>
                <a:schemeClr val="tx2"/>
              </a:solidFill>
              <a:ln w="9525" cap="flat" cmpd="sng" algn="ctr">
                <a:solidFill>
                  <a:schemeClr val="tx2">
                    <a:alpha val="50000"/>
                  </a:schemeClr>
                </a:solidFill>
                <a:round/>
              </a:ln>
              <a:effectLst/>
            </c:spPr>
            <c:extLst>
              <c:ext xmlns:c16="http://schemas.microsoft.com/office/drawing/2014/chart" uri="{C3380CC4-5D6E-409C-BE32-E72D297353CC}">
                <c16:uniqueId val="{00000005-8256-4A8D-973A-D7228FADFAC0}"/>
              </c:ext>
            </c:extLst>
          </c:dPt>
          <c:dPt>
            <c:idx val="3"/>
            <c:invertIfNegative val="0"/>
            <c:bubble3D val="0"/>
            <c:spPr>
              <a:solidFill>
                <a:schemeClr val="tx2"/>
              </a:solidFill>
              <a:ln w="9525" cap="flat" cmpd="sng" algn="ctr">
                <a:solidFill>
                  <a:schemeClr val="tx2">
                    <a:alpha val="50000"/>
                  </a:schemeClr>
                </a:solidFill>
                <a:round/>
              </a:ln>
              <a:effectLst/>
            </c:spPr>
            <c:extLst>
              <c:ext xmlns:c16="http://schemas.microsoft.com/office/drawing/2014/chart" uri="{C3380CC4-5D6E-409C-BE32-E72D297353CC}">
                <c16:uniqueId val="{00000007-A469-48FD-81F0-865BEC90E718}"/>
              </c:ext>
            </c:extLst>
          </c:dPt>
          <c:dPt>
            <c:idx val="5"/>
            <c:invertIfNegative val="0"/>
            <c:bubble3D val="0"/>
            <c:spPr>
              <a:solidFill>
                <a:schemeClr val="accent6">
                  <a:lumMod val="40000"/>
                  <a:lumOff val="60000"/>
                </a:schemeClr>
              </a:solidFill>
              <a:ln w="9525" cap="flat" cmpd="sng" algn="ctr">
                <a:solidFill>
                  <a:schemeClr val="tx2">
                    <a:alpha val="50000"/>
                  </a:schemeClr>
                </a:solidFill>
                <a:round/>
              </a:ln>
              <a:effectLst/>
            </c:spPr>
            <c:extLst>
              <c:ext xmlns:c16="http://schemas.microsoft.com/office/drawing/2014/chart" uri="{C3380CC4-5D6E-409C-BE32-E72D297353CC}">
                <c16:uniqueId val="{0000000A-2D44-4139-85A1-C23D105E15A2}"/>
              </c:ext>
            </c:extLst>
          </c:dPt>
          <c:dPt>
            <c:idx val="6"/>
            <c:invertIfNegative val="0"/>
            <c:bubble3D val="0"/>
            <c:spPr>
              <a:solidFill>
                <a:schemeClr val="tx2"/>
              </a:solidFill>
              <a:ln w="9525" cap="flat" cmpd="sng" algn="ctr">
                <a:solidFill>
                  <a:schemeClr val="tx2">
                    <a:alpha val="50000"/>
                  </a:schemeClr>
                </a:solidFill>
                <a:round/>
              </a:ln>
              <a:effectLst/>
            </c:spPr>
            <c:extLst>
              <c:ext xmlns:c16="http://schemas.microsoft.com/office/drawing/2014/chart" uri="{C3380CC4-5D6E-409C-BE32-E72D297353CC}">
                <c16:uniqueId val="{00000005-35FF-472F-B08E-46F0F1A450CE}"/>
              </c:ext>
            </c:extLst>
          </c:dPt>
          <c:dPt>
            <c:idx val="7"/>
            <c:invertIfNegative val="0"/>
            <c:bubble3D val="0"/>
            <c:spPr>
              <a:solidFill>
                <a:srgbClr val="FFFF00"/>
              </a:solidFill>
              <a:ln w="9525" cap="flat" cmpd="sng" algn="ctr">
                <a:solidFill>
                  <a:schemeClr val="tx2">
                    <a:alpha val="50000"/>
                  </a:schemeClr>
                </a:solidFill>
                <a:round/>
              </a:ln>
              <a:effectLst/>
            </c:spPr>
            <c:extLst>
              <c:ext xmlns:c16="http://schemas.microsoft.com/office/drawing/2014/chart" uri="{C3380CC4-5D6E-409C-BE32-E72D297353CC}">
                <c16:uniqueId val="{00000007-2787-4FA1-A8E8-31D58237E23C}"/>
              </c:ext>
            </c:extLst>
          </c:dPt>
          <c:dLbls>
            <c:dLbl>
              <c:idx val="5"/>
              <c:spPr>
                <a:noFill/>
                <a:ln>
                  <a:noFill/>
                </a:ln>
                <a:effectLst/>
              </c:spPr>
              <c:txPr>
                <a:bodyPr rot="-5400000" spcFirstLastPara="1" vertOverflow="ellipsis" wrap="square" lIns="38100" tIns="19050" rIns="38100" bIns="19050" anchor="ctr" anchorCtr="1">
                  <a:spAutoFit/>
                </a:bodyPr>
                <a:lstStyle/>
                <a:p>
                  <a:pPr>
                    <a:defRPr sz="1400" b="1"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dLblPos val="inEnd"/>
              <c:showLegendKey val="0"/>
              <c:showVal val="1"/>
              <c:showCatName val="0"/>
              <c:showSerName val="0"/>
              <c:showPercent val="0"/>
              <c:showBubbleSize val="0"/>
              <c:extLst>
                <c:ext xmlns:c16="http://schemas.microsoft.com/office/drawing/2014/chart" uri="{C3380CC4-5D6E-409C-BE32-E72D297353CC}">
                  <c16:uniqueId val="{0000000A-2D44-4139-85A1-C23D105E15A2}"/>
                </c:ext>
              </c:extLst>
            </c:dLbl>
            <c:dLbl>
              <c:idx val="7"/>
              <c:spPr>
                <a:noFill/>
                <a:ln>
                  <a:noFill/>
                </a:ln>
                <a:effectLst/>
              </c:spPr>
              <c:txPr>
                <a:bodyPr rot="-5400000" spcFirstLastPara="1" vertOverflow="ellipsis" wrap="square" lIns="38100" tIns="19050" rIns="38100" bIns="19050" anchor="ctr" anchorCtr="1">
                  <a:spAutoFit/>
                </a:bodyPr>
                <a:lstStyle/>
                <a:p>
                  <a:pPr>
                    <a:defRPr sz="1400" b="1"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dLblPos val="inEnd"/>
              <c:showLegendKey val="0"/>
              <c:showVal val="1"/>
              <c:showCatName val="0"/>
              <c:showSerName val="0"/>
              <c:showPercent val="0"/>
              <c:showBubbleSize val="0"/>
              <c:extLst>
                <c:ext xmlns:c16="http://schemas.microsoft.com/office/drawing/2014/chart" uri="{C3380CC4-5D6E-409C-BE32-E72D297353CC}">
                  <c16:uniqueId val="{00000007-2787-4FA1-A8E8-31D58237E23C}"/>
                </c:ext>
              </c:extLst>
            </c:dLbl>
            <c:spPr>
              <a:noFill/>
              <a:ln>
                <a:noFill/>
              </a:ln>
              <a:effectLst/>
            </c:spPr>
            <c:txPr>
              <a:bodyPr rot="-5400000" spcFirstLastPara="1" vertOverflow="ellipsis" wrap="square" lIns="38100" tIns="19050" rIns="38100" bIns="19050" anchor="ctr" anchorCtr="1">
                <a:spAutoFit/>
              </a:bodyPr>
              <a:lstStyle/>
              <a:p>
                <a:pPr>
                  <a:defRPr sz="1400" b="1"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'Salary Doctorate'!$B$22:$B$39</c:f>
              <c:strCache>
                <c:ptCount val="18"/>
                <c:pt idx="0">
                  <c:v>College of the Sequoias (2024-2027)</c:v>
                </c:pt>
                <c:pt idx="1">
                  <c:v>Kern Community College District (2023-2026)</c:v>
                </c:pt>
                <c:pt idx="2">
                  <c:v>West Kern Community College District (Taft College) (2023-2026)</c:v>
                </c:pt>
                <c:pt idx="3">
                  <c:v>West Hills Community College District (2022-2025) </c:v>
                </c:pt>
                <c:pt idx="4">
                  <c:v>Merced Community College District (2024-2027)</c:v>
                </c:pt>
                <c:pt idx="5">
                  <c:v>State Center Community College District (2022-2025) + 3.3%</c:v>
                </c:pt>
                <c:pt idx="6">
                  <c:v>San Joaquin Delta CCD (2024-2027)</c:v>
                </c:pt>
                <c:pt idx="7">
                  <c:v>State Center Community College District (2022-2025) </c:v>
                </c:pt>
                <c:pt idx="8">
                  <c:v>Hartnell Community College District (2022-2025)</c:v>
                </c:pt>
                <c:pt idx="9">
                  <c:v>Gavilan Community College District (2024-2027)</c:v>
                </c:pt>
                <c:pt idx="10">
                  <c:v>San Luis Obispo County Community College District (2023-2025)</c:v>
                </c:pt>
                <c:pt idx="11">
                  <c:v>Cabrillo Community College District (2022-2025)</c:v>
                </c:pt>
                <c:pt idx="12">
                  <c:v>Yosemite Community College District (2023-2026) </c:v>
                </c:pt>
                <c:pt idx="13">
                  <c:v>Los Rios Community College District (2023-2026)</c:v>
                </c:pt>
                <c:pt idx="14">
                  <c:v>Ventura County CCD (2022-2025)</c:v>
                </c:pt>
                <c:pt idx="15">
                  <c:v>Monterey - Peninsula Community College District (2022-2025)</c:v>
                </c:pt>
                <c:pt idx="16">
                  <c:v>Contra Costa Community College District (2022-2025)</c:v>
                </c:pt>
                <c:pt idx="17">
                  <c:v>Allan Hancock CCD (2024-2027)</c:v>
                </c:pt>
              </c:strCache>
            </c:strRef>
          </c:cat>
          <c:val>
            <c:numRef>
              <c:f>'Salary Doctorate'!$C$22:$C$39</c:f>
              <c:numCache>
                <c:formatCode>_("$"* #,##0.00_);_("$"* \(#,##0.00\);_("$"* "-"??_);_(@_)</c:formatCode>
                <c:ptCount val="18"/>
                <c:pt idx="0">
                  <c:v>187479.36</c:v>
                </c:pt>
                <c:pt idx="1">
                  <c:v>166155.19</c:v>
                </c:pt>
                <c:pt idx="2">
                  <c:v>163085.25</c:v>
                </c:pt>
                <c:pt idx="3">
                  <c:v>162691</c:v>
                </c:pt>
                <c:pt idx="4">
                  <c:v>161424</c:v>
                </c:pt>
                <c:pt idx="5">
                  <c:v>158494.223</c:v>
                </c:pt>
                <c:pt idx="6">
                  <c:v>151165</c:v>
                </c:pt>
                <c:pt idx="7">
                  <c:v>149765</c:v>
                </c:pt>
                <c:pt idx="8">
                  <c:v>149154</c:v>
                </c:pt>
                <c:pt idx="9">
                  <c:v>147647.8224</c:v>
                </c:pt>
                <c:pt idx="10">
                  <c:v>145819</c:v>
                </c:pt>
                <c:pt idx="11">
                  <c:v>145298</c:v>
                </c:pt>
                <c:pt idx="12">
                  <c:v>145028</c:v>
                </c:pt>
                <c:pt idx="13">
                  <c:v>143927</c:v>
                </c:pt>
                <c:pt idx="14">
                  <c:v>138585.79999999999</c:v>
                </c:pt>
                <c:pt idx="15">
                  <c:v>138512</c:v>
                </c:pt>
                <c:pt idx="16">
                  <c:v>132264</c:v>
                </c:pt>
                <c:pt idx="17">
                  <c:v>129985</c:v>
                </c:pt>
              </c:numCache>
            </c:numRef>
          </c:val>
          <c:extLst>
            <c:ext xmlns:c16="http://schemas.microsoft.com/office/drawing/2014/chart" uri="{C3380CC4-5D6E-409C-BE32-E72D297353CC}">
              <c16:uniqueId val="{0000000D-35FF-472F-B08E-46F0F1A450CE}"/>
            </c:ext>
          </c:extLst>
        </c:ser>
        <c:dLbls>
          <c:dLblPos val="inEnd"/>
          <c:showLegendKey val="0"/>
          <c:showVal val="1"/>
          <c:showCatName val="0"/>
          <c:showSerName val="0"/>
          <c:showPercent val="0"/>
          <c:showBubbleSize val="0"/>
        </c:dLbls>
        <c:gapWidth val="20"/>
        <c:axId val="616787720"/>
        <c:axId val="616788112"/>
      </c:barChart>
      <c:catAx>
        <c:axId val="616787720"/>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n-US"/>
          </a:p>
        </c:txPr>
        <c:crossAx val="616788112"/>
        <c:crosses val="autoZero"/>
        <c:auto val="1"/>
        <c:lblAlgn val="ctr"/>
        <c:lblOffset val="100"/>
        <c:noMultiLvlLbl val="0"/>
      </c:catAx>
      <c:valAx>
        <c:axId val="616788112"/>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_(&quot;$&quot;* #,##0.00_);_(&quot;$&quot;* \(#,##0.00\);_(&quot;$&quot;* &quot;-&quot;??_);_(@_)" sourceLinked="1"/>
        <c:majorTickMark val="none"/>
        <c:minorTickMark val="none"/>
        <c:tickLblPos val="nextTo"/>
        <c:crossAx val="616787720"/>
        <c:crosses val="autoZero"/>
        <c:crossBetween val="between"/>
      </c:valAx>
      <c:spPr>
        <a:noFill/>
        <a:ln>
          <a:noFill/>
        </a:ln>
        <a:effectLst/>
      </c:spPr>
    </c:plotArea>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n-US"/>
    </a:p>
  </c:txPr>
  <c:printSettings>
    <c:headerFooter/>
    <c:pageMargins b="0.75000000000000011" l="0.70000000000000007" r="0.70000000000000007" t="0.75000000000000011" header="0.30000000000000004" footer="0.30000000000000004"/>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n-US"/>
        </a:p>
      </c:txPr>
    </c:title>
    <c:autoTitleDeleted val="0"/>
    <c:plotArea>
      <c:layout/>
      <c:barChart>
        <c:barDir val="col"/>
        <c:grouping val="clustered"/>
        <c:varyColors val="0"/>
        <c:ser>
          <c:idx val="0"/>
          <c:order val="0"/>
          <c:tx>
            <c:strRef>
              <c:f>DailyRate!$E$23</c:f>
              <c:strCache>
                <c:ptCount val="1"/>
                <c:pt idx="0">
                  <c:v>Daily Rate</c:v>
                </c:pt>
              </c:strCache>
            </c:strRef>
          </c:tx>
          <c:spPr>
            <a:solidFill>
              <a:schemeClr val="tx2">
                <a:alpha val="95000"/>
              </a:schemeClr>
            </a:solidFill>
            <a:ln w="9525" cap="flat" cmpd="sng" algn="ctr">
              <a:solidFill>
                <a:schemeClr val="tx2"/>
              </a:solidFill>
              <a:round/>
            </a:ln>
            <a:effectLst/>
          </c:spPr>
          <c:invertIfNegative val="0"/>
          <c:dPt>
            <c:idx val="0"/>
            <c:invertIfNegative val="0"/>
            <c:bubble3D val="0"/>
            <c:spPr>
              <a:solidFill>
                <a:schemeClr val="tx2">
                  <a:alpha val="95000"/>
                </a:schemeClr>
              </a:solidFill>
              <a:ln w="9525" cap="flat" cmpd="sng" algn="ctr">
                <a:solidFill>
                  <a:schemeClr val="tx2"/>
                </a:solidFill>
                <a:round/>
              </a:ln>
              <a:effectLst/>
            </c:spPr>
            <c:extLst>
              <c:ext xmlns:c16="http://schemas.microsoft.com/office/drawing/2014/chart" uri="{C3380CC4-5D6E-409C-BE32-E72D297353CC}">
                <c16:uniqueId val="{00000001-F004-42CD-A825-C1E44E963EC4}"/>
              </c:ext>
            </c:extLst>
          </c:dPt>
          <c:dPt>
            <c:idx val="1"/>
            <c:invertIfNegative val="0"/>
            <c:bubble3D val="0"/>
            <c:spPr>
              <a:solidFill>
                <a:schemeClr val="tx2">
                  <a:alpha val="95000"/>
                </a:schemeClr>
              </a:solidFill>
              <a:ln w="9525" cap="flat" cmpd="sng" algn="ctr">
                <a:solidFill>
                  <a:schemeClr val="tx2"/>
                </a:solidFill>
                <a:round/>
              </a:ln>
              <a:effectLst/>
            </c:spPr>
            <c:extLst>
              <c:ext xmlns:c16="http://schemas.microsoft.com/office/drawing/2014/chart" uri="{C3380CC4-5D6E-409C-BE32-E72D297353CC}">
                <c16:uniqueId val="{00000003-F004-42CD-A825-C1E44E963EC4}"/>
              </c:ext>
            </c:extLst>
          </c:dPt>
          <c:dPt>
            <c:idx val="2"/>
            <c:invertIfNegative val="0"/>
            <c:bubble3D val="0"/>
            <c:spPr>
              <a:solidFill>
                <a:schemeClr val="tx2">
                  <a:alpha val="95000"/>
                </a:schemeClr>
              </a:solidFill>
              <a:ln w="9525" cap="flat" cmpd="sng" algn="ctr">
                <a:solidFill>
                  <a:schemeClr val="tx2"/>
                </a:solidFill>
                <a:round/>
              </a:ln>
              <a:effectLst/>
            </c:spPr>
            <c:extLst>
              <c:ext xmlns:c16="http://schemas.microsoft.com/office/drawing/2014/chart" uri="{C3380CC4-5D6E-409C-BE32-E72D297353CC}">
                <c16:uniqueId val="{00000004-1D89-4916-B96C-B929EBBF60E8}"/>
              </c:ext>
            </c:extLst>
          </c:dPt>
          <c:dPt>
            <c:idx val="3"/>
            <c:invertIfNegative val="0"/>
            <c:bubble3D val="0"/>
            <c:spPr>
              <a:solidFill>
                <a:schemeClr val="tx2">
                  <a:alpha val="95000"/>
                </a:schemeClr>
              </a:solidFill>
              <a:ln w="9525" cap="flat" cmpd="sng" algn="ctr">
                <a:solidFill>
                  <a:schemeClr val="tx2"/>
                </a:solidFill>
                <a:round/>
              </a:ln>
              <a:effectLst/>
            </c:spPr>
            <c:extLst>
              <c:ext xmlns:c16="http://schemas.microsoft.com/office/drawing/2014/chart" uri="{C3380CC4-5D6E-409C-BE32-E72D297353CC}">
                <c16:uniqueId val="{0000000B-F004-42CD-A825-C1E44E963EC4}"/>
              </c:ext>
            </c:extLst>
          </c:dPt>
          <c:dPt>
            <c:idx val="4"/>
            <c:invertIfNegative val="0"/>
            <c:bubble3D val="0"/>
            <c:spPr>
              <a:solidFill>
                <a:schemeClr val="accent6">
                  <a:lumMod val="40000"/>
                  <a:lumOff val="60000"/>
                  <a:alpha val="95000"/>
                </a:schemeClr>
              </a:solidFill>
              <a:ln w="9525" cap="flat" cmpd="sng" algn="ctr">
                <a:solidFill>
                  <a:schemeClr val="tx2"/>
                </a:solidFill>
                <a:round/>
              </a:ln>
              <a:effectLst/>
            </c:spPr>
            <c:extLst>
              <c:ext xmlns:c16="http://schemas.microsoft.com/office/drawing/2014/chart" uri="{C3380CC4-5D6E-409C-BE32-E72D297353CC}">
                <c16:uniqueId val="{00000007-F004-42CD-A825-C1E44E963EC4}"/>
              </c:ext>
            </c:extLst>
          </c:dPt>
          <c:dPt>
            <c:idx val="5"/>
            <c:invertIfNegative val="0"/>
            <c:bubble3D val="0"/>
            <c:spPr>
              <a:solidFill>
                <a:schemeClr val="tx2">
                  <a:alpha val="95000"/>
                </a:schemeClr>
              </a:solidFill>
              <a:ln w="9525" cap="flat" cmpd="sng" algn="ctr">
                <a:solidFill>
                  <a:schemeClr val="tx2"/>
                </a:solidFill>
                <a:round/>
              </a:ln>
              <a:effectLst/>
            </c:spPr>
            <c:extLst>
              <c:ext xmlns:c16="http://schemas.microsoft.com/office/drawing/2014/chart" uri="{C3380CC4-5D6E-409C-BE32-E72D297353CC}">
                <c16:uniqueId val="{0000000B-6A9C-400A-BB07-4966E8D78F58}"/>
              </c:ext>
            </c:extLst>
          </c:dPt>
          <c:dPt>
            <c:idx val="6"/>
            <c:invertIfNegative val="0"/>
            <c:bubble3D val="0"/>
            <c:spPr>
              <a:solidFill>
                <a:schemeClr val="tx2">
                  <a:alpha val="95000"/>
                </a:schemeClr>
              </a:solidFill>
              <a:ln w="9525" cap="flat" cmpd="sng" algn="ctr">
                <a:solidFill>
                  <a:schemeClr val="tx2"/>
                </a:solidFill>
                <a:round/>
              </a:ln>
              <a:effectLst/>
            </c:spPr>
            <c:extLst>
              <c:ext xmlns:c16="http://schemas.microsoft.com/office/drawing/2014/chart" uri="{C3380CC4-5D6E-409C-BE32-E72D297353CC}">
                <c16:uniqueId val="{0000000C-6A9C-400A-BB07-4966E8D78F58}"/>
              </c:ext>
            </c:extLst>
          </c:dPt>
          <c:dPt>
            <c:idx val="7"/>
            <c:invertIfNegative val="0"/>
            <c:bubble3D val="0"/>
            <c:spPr>
              <a:solidFill>
                <a:schemeClr val="tx2">
                  <a:alpha val="95000"/>
                </a:schemeClr>
              </a:solidFill>
              <a:ln w="9525" cap="flat" cmpd="sng" algn="ctr">
                <a:solidFill>
                  <a:schemeClr val="tx2"/>
                </a:solidFill>
                <a:round/>
              </a:ln>
              <a:effectLst/>
            </c:spPr>
            <c:extLst>
              <c:ext xmlns:c16="http://schemas.microsoft.com/office/drawing/2014/chart" uri="{C3380CC4-5D6E-409C-BE32-E72D297353CC}">
                <c16:uniqueId val="{0000000D-6A9C-400A-BB07-4966E8D78F58}"/>
              </c:ext>
            </c:extLst>
          </c:dPt>
          <c:dPt>
            <c:idx val="8"/>
            <c:invertIfNegative val="0"/>
            <c:bubble3D val="0"/>
            <c:spPr>
              <a:solidFill>
                <a:schemeClr val="tx2">
                  <a:alpha val="95000"/>
                </a:schemeClr>
              </a:solidFill>
              <a:ln w="9525" cap="flat" cmpd="sng" algn="ctr">
                <a:solidFill>
                  <a:schemeClr val="tx2"/>
                </a:solidFill>
                <a:round/>
              </a:ln>
              <a:effectLst/>
            </c:spPr>
            <c:extLst>
              <c:ext xmlns:c16="http://schemas.microsoft.com/office/drawing/2014/chart" uri="{C3380CC4-5D6E-409C-BE32-E72D297353CC}">
                <c16:uniqueId val="{0000000E-6A9C-400A-BB07-4966E8D78F58}"/>
              </c:ext>
            </c:extLst>
          </c:dPt>
          <c:dPt>
            <c:idx val="9"/>
            <c:invertIfNegative val="0"/>
            <c:bubble3D val="0"/>
            <c:spPr>
              <a:solidFill>
                <a:srgbClr val="FFFF00">
                  <a:alpha val="95000"/>
                </a:srgbClr>
              </a:solidFill>
              <a:ln w="9525" cap="flat" cmpd="sng" algn="ctr">
                <a:solidFill>
                  <a:schemeClr val="tx2"/>
                </a:solidFill>
                <a:round/>
              </a:ln>
              <a:effectLst/>
            </c:spPr>
            <c:extLst>
              <c:ext xmlns:c16="http://schemas.microsoft.com/office/drawing/2014/chart" uri="{C3380CC4-5D6E-409C-BE32-E72D297353CC}">
                <c16:uniqueId val="{0000000D-7DB9-4B70-BFC1-AC7E2FA93201}"/>
              </c:ext>
            </c:extLst>
          </c:dPt>
          <c:dPt>
            <c:idx val="10"/>
            <c:invertIfNegative val="0"/>
            <c:bubble3D val="0"/>
            <c:spPr>
              <a:solidFill>
                <a:schemeClr val="tx2">
                  <a:alpha val="95000"/>
                </a:schemeClr>
              </a:solidFill>
              <a:ln w="9525" cap="flat" cmpd="sng" algn="ctr">
                <a:solidFill>
                  <a:schemeClr val="tx2"/>
                </a:solidFill>
                <a:round/>
              </a:ln>
              <a:effectLst/>
            </c:spPr>
            <c:extLst>
              <c:ext xmlns:c16="http://schemas.microsoft.com/office/drawing/2014/chart" uri="{C3380CC4-5D6E-409C-BE32-E72D297353CC}">
                <c16:uniqueId val="{00000009-F004-42CD-A825-C1E44E963EC4}"/>
              </c:ext>
            </c:extLst>
          </c:dPt>
          <c:dPt>
            <c:idx val="11"/>
            <c:invertIfNegative val="0"/>
            <c:bubble3D val="0"/>
            <c:spPr>
              <a:solidFill>
                <a:schemeClr val="tx2">
                  <a:alpha val="95000"/>
                </a:schemeClr>
              </a:solidFill>
              <a:ln w="9525" cap="flat" cmpd="sng" algn="ctr">
                <a:noFill/>
                <a:round/>
              </a:ln>
              <a:effectLst/>
            </c:spPr>
            <c:extLst>
              <c:ext xmlns:c16="http://schemas.microsoft.com/office/drawing/2014/chart" uri="{C3380CC4-5D6E-409C-BE32-E72D297353CC}">
                <c16:uniqueId val="{0000000F-6A9C-400A-BB07-4966E8D78F58}"/>
              </c:ext>
            </c:extLst>
          </c:dPt>
          <c:dPt>
            <c:idx val="12"/>
            <c:invertIfNegative val="0"/>
            <c:bubble3D val="0"/>
            <c:spPr>
              <a:solidFill>
                <a:schemeClr val="tx2">
                  <a:alpha val="95000"/>
                </a:schemeClr>
              </a:solidFill>
              <a:ln w="9525" cap="flat" cmpd="sng" algn="ctr">
                <a:solidFill>
                  <a:schemeClr val="tx2"/>
                </a:solidFill>
                <a:round/>
              </a:ln>
              <a:effectLst/>
            </c:spPr>
            <c:extLst>
              <c:ext xmlns:c16="http://schemas.microsoft.com/office/drawing/2014/chart" uri="{C3380CC4-5D6E-409C-BE32-E72D297353CC}">
                <c16:uniqueId val="{00000002-DCED-4810-B71E-E9D58147A8BE}"/>
              </c:ext>
            </c:extLst>
          </c:dPt>
          <c:dPt>
            <c:idx val="13"/>
            <c:invertIfNegative val="0"/>
            <c:bubble3D val="0"/>
            <c:spPr>
              <a:solidFill>
                <a:schemeClr val="tx2">
                  <a:alpha val="95000"/>
                </a:schemeClr>
              </a:solidFill>
              <a:ln w="9525" cap="flat" cmpd="sng" algn="ctr">
                <a:solidFill>
                  <a:schemeClr val="tx2"/>
                </a:solidFill>
                <a:round/>
              </a:ln>
              <a:effectLst/>
            </c:spPr>
            <c:extLst>
              <c:ext xmlns:c16="http://schemas.microsoft.com/office/drawing/2014/chart" uri="{C3380CC4-5D6E-409C-BE32-E72D297353CC}">
                <c16:uniqueId val="{00000010-6A9C-400A-BB07-4966E8D78F58}"/>
              </c:ext>
            </c:extLst>
          </c:dPt>
          <c:dLbls>
            <c:dLbl>
              <c:idx val="0"/>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004-42CD-A825-C1E44E963EC4}"/>
                </c:ext>
              </c:extLst>
            </c:dLbl>
            <c:dLbl>
              <c:idx val="1"/>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F004-42CD-A825-C1E44E963EC4}"/>
                </c:ext>
              </c:extLst>
            </c:dLbl>
            <c:dLbl>
              <c:idx val="2"/>
              <c:layout>
                <c:manualLayout>
                  <c:x val="-7.6184264901927158E-4"/>
                  <c:y val="0.40300301004041161"/>
                </c:manualLayout>
              </c:layout>
              <c:dLblPos val="outEnd"/>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4-1D89-4916-B96C-B929EBBF60E8}"/>
                </c:ext>
              </c:extLst>
            </c:dLbl>
            <c:dLbl>
              <c:idx val="3"/>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F004-42CD-A825-C1E44E963EC4}"/>
                </c:ext>
              </c:extLst>
            </c:dLbl>
            <c:dLbl>
              <c:idx val="4"/>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F004-42CD-A825-C1E44E963EC4}"/>
                </c:ext>
              </c:extLst>
            </c:dLbl>
            <c:dLbl>
              <c:idx val="6"/>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6A9C-400A-BB07-4966E8D78F58}"/>
                </c:ext>
              </c:extLst>
            </c:dLbl>
            <c:dLbl>
              <c:idx val="7"/>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6A9C-400A-BB07-4966E8D78F58}"/>
                </c:ext>
              </c:extLst>
            </c:dLbl>
            <c:dLbl>
              <c:idx val="8"/>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6A9C-400A-BB07-4966E8D78F58}"/>
                </c:ext>
              </c:extLst>
            </c:dLbl>
            <c:dLbl>
              <c:idx val="9"/>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7DB9-4B70-BFC1-AC7E2FA93201}"/>
                </c:ext>
              </c:extLst>
            </c:dLbl>
            <c:dLbl>
              <c:idx val="11"/>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6A9C-400A-BB07-4966E8D78F58}"/>
                </c:ext>
              </c:extLst>
            </c:dLbl>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DailyRate!$B$24:$B$41</c:f>
              <c:strCache>
                <c:ptCount val="18"/>
                <c:pt idx="0">
                  <c:v>College of the Sequoias (2024-2027)</c:v>
                </c:pt>
                <c:pt idx="1">
                  <c:v>West Hills Community College District (2022-2025) </c:v>
                </c:pt>
                <c:pt idx="2">
                  <c:v>Merced Community College District (2024-2027)</c:v>
                </c:pt>
                <c:pt idx="3">
                  <c:v>Kern Community College District (2023-2026)</c:v>
                </c:pt>
                <c:pt idx="4">
                  <c:v>State Center Community College District (2022-2025) + 3.3%</c:v>
                </c:pt>
                <c:pt idx="5">
                  <c:v>West Kern Community College District (Taft College) (2023-2026)</c:v>
                </c:pt>
                <c:pt idx="6">
                  <c:v>San Joaquin Delta CCD (2024-2027)</c:v>
                </c:pt>
                <c:pt idx="7">
                  <c:v>Los Rios Community College District (2023-2026)</c:v>
                </c:pt>
                <c:pt idx="8">
                  <c:v>Hartnell Community College District (2022-2025)</c:v>
                </c:pt>
                <c:pt idx="9">
                  <c:v>State Center Community College District (2022-2025) </c:v>
                </c:pt>
                <c:pt idx="10">
                  <c:v>Yosemite Community College District (2023-2026) </c:v>
                </c:pt>
                <c:pt idx="11">
                  <c:v>San Luis Obispo County Community College District (2023-2025)</c:v>
                </c:pt>
                <c:pt idx="12">
                  <c:v>Cabrillo Community College District (2022-2025)</c:v>
                </c:pt>
                <c:pt idx="13">
                  <c:v>Gavilan Community College District (2024-2027)</c:v>
                </c:pt>
                <c:pt idx="14">
                  <c:v>Monterey - Peninsula Community College District (2022-2025)</c:v>
                </c:pt>
                <c:pt idx="15">
                  <c:v>Ventura County CCD (2022-2025)</c:v>
                </c:pt>
                <c:pt idx="16">
                  <c:v>Contra Costa Community College District (2022-2025)</c:v>
                </c:pt>
                <c:pt idx="17">
                  <c:v>Allan Hancock CCD (2024-2027)</c:v>
                </c:pt>
              </c:strCache>
            </c:strRef>
          </c:cat>
          <c:val>
            <c:numRef>
              <c:f>DailyRate!$E$24:$E$41</c:f>
              <c:numCache>
                <c:formatCode>_("$"* #,##0.00_);_("$"* \(#,##0.00\);_("$"* "-"??_);_(@_)</c:formatCode>
                <c:ptCount val="18"/>
                <c:pt idx="0">
                  <c:v>1052.3727999999999</c:v>
                </c:pt>
                <c:pt idx="1">
                  <c:v>905.03389830508479</c:v>
                </c:pt>
                <c:pt idx="2">
                  <c:v>885.61142857142852</c:v>
                </c:pt>
                <c:pt idx="3">
                  <c:v>882.01548571428566</c:v>
                </c:pt>
                <c:pt idx="4">
                  <c:v>876.37862921348324</c:v>
                </c:pt>
                <c:pt idx="5">
                  <c:v>851.99428571428575</c:v>
                </c:pt>
                <c:pt idx="6">
                  <c:v>842.62108262108256</c:v>
                </c:pt>
                <c:pt idx="7">
                  <c:v>840.7560975609756</c:v>
                </c:pt>
                <c:pt idx="8">
                  <c:v>828.4</c:v>
                </c:pt>
                <c:pt idx="9">
                  <c:v>827.78651685393254</c:v>
                </c:pt>
                <c:pt idx="10">
                  <c:v>810.48571428571427</c:v>
                </c:pt>
                <c:pt idx="11">
                  <c:v>809.50285714285712</c:v>
                </c:pt>
                <c:pt idx="12">
                  <c:v>803.43428571428569</c:v>
                </c:pt>
                <c:pt idx="13">
                  <c:v>798.67639999999994</c:v>
                </c:pt>
                <c:pt idx="14">
                  <c:v>783.78347578347575</c:v>
                </c:pt>
                <c:pt idx="15">
                  <c:v>756.70742857142852</c:v>
                </c:pt>
                <c:pt idx="16">
                  <c:v>755.79428571428571</c:v>
                </c:pt>
                <c:pt idx="17">
                  <c:v>728.48571428571427</c:v>
                </c:pt>
              </c:numCache>
            </c:numRef>
          </c:val>
          <c:extLst>
            <c:ext xmlns:c16="http://schemas.microsoft.com/office/drawing/2014/chart" uri="{C3380CC4-5D6E-409C-BE32-E72D297353CC}">
              <c16:uniqueId val="{0000000E-7DB9-4B70-BFC1-AC7E2FA93201}"/>
            </c:ext>
          </c:extLst>
        </c:ser>
        <c:dLbls>
          <c:dLblPos val="inEnd"/>
          <c:showLegendKey val="0"/>
          <c:showVal val="1"/>
          <c:showCatName val="0"/>
          <c:showSerName val="0"/>
          <c:showPercent val="0"/>
          <c:showBubbleSize val="0"/>
        </c:dLbls>
        <c:gapWidth val="20"/>
        <c:axId val="616803008"/>
        <c:axId val="616807320"/>
      </c:barChart>
      <c:catAx>
        <c:axId val="616803008"/>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n-US"/>
          </a:p>
        </c:txPr>
        <c:crossAx val="616807320"/>
        <c:crosses val="autoZero"/>
        <c:auto val="1"/>
        <c:lblAlgn val="ctr"/>
        <c:lblOffset val="100"/>
        <c:noMultiLvlLbl val="0"/>
      </c:catAx>
      <c:valAx>
        <c:axId val="616807320"/>
        <c:scaling>
          <c:orientation val="minMax"/>
          <c:max val="900"/>
          <c:min val="0"/>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_(&quot;$&quot;* #,##0.00_);_(&quot;$&quot;* \(#,##0.00\);_(&quot;$&quot;* &quot;-&quot;??_);_(@_)" sourceLinked="1"/>
        <c:majorTickMark val="none"/>
        <c:minorTickMark val="none"/>
        <c:tickLblPos val="nextTo"/>
        <c:crossAx val="616803008"/>
        <c:crosses val="autoZero"/>
        <c:crossBetween val="between"/>
      </c:valAx>
      <c:spPr>
        <a:noFill/>
        <a:ln>
          <a:noFill/>
        </a:ln>
        <a:effectLst/>
      </c:spPr>
    </c:plotArea>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tx2"/>
      </a:solidFill>
      <a:round/>
    </a:ln>
    <a:effectLst/>
  </c:spPr>
  <c:txPr>
    <a:bodyPr/>
    <a:lstStyle/>
    <a:p>
      <a:pPr>
        <a:defRPr/>
      </a:pPr>
      <a:endParaRPr lang="en-US"/>
    </a:p>
  </c:txPr>
  <c:printSettings>
    <c:headerFooter/>
    <c:pageMargins b="0.75000000000000011" l="0.70000000000000007" r="0.70000000000000007" t="0.75000000000000011" header="0.30000000000000004" footer="0.30000000000000004"/>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5">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10.xml><?xml version="1.0" encoding="utf-8"?>
<cs:chartStyle xmlns:cs="http://schemas.microsoft.com/office/drawing/2012/chartStyle" xmlns:a="http://schemas.openxmlformats.org/drawingml/2006/main" id="202">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800" b="0" i="0" u="none" strike="noStrike" kern="1200" baseline="0"/>
    <cs:bodyPr rot="-5400000" spcFirstLastPara="1" vertOverflow="clip" horzOverflow="clip" vert="horz" wrap="square" lIns="38100" tIns="19050" rIns="38100" bIns="19050" anchor="ctr" anchorCtr="1">
      <a:spAutoFit/>
    </cs:bodyPr>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11.xml><?xml version="1.0" encoding="utf-8"?>
<cs:chartStyle xmlns:cs="http://schemas.microsoft.com/office/drawing/2012/chartStyle" xmlns:a="http://schemas.openxmlformats.org/drawingml/2006/main" id="202">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800" b="0" i="0" u="none" strike="noStrike" kern="1200" baseline="0"/>
    <cs:bodyPr rot="-5400000" spcFirstLastPara="1" vertOverflow="clip" horzOverflow="clip" vert="horz" wrap="square" lIns="38100" tIns="19050" rIns="38100" bIns="19050" anchor="ctr" anchorCtr="1">
      <a:spAutoFit/>
    </cs:bodyPr>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5">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3.xml><?xml version="1.0" encoding="utf-8"?>
<cs:chartStyle xmlns:cs="http://schemas.microsoft.com/office/drawing/2012/chartStyle" xmlns:a="http://schemas.openxmlformats.org/drawingml/2006/main" id="205">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4.xml><?xml version="1.0" encoding="utf-8"?>
<cs:chartStyle xmlns:cs="http://schemas.microsoft.com/office/drawing/2012/chartStyle" xmlns:a="http://schemas.openxmlformats.org/drawingml/2006/main" id="205">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5.xml><?xml version="1.0" encoding="utf-8"?>
<cs:chartStyle xmlns:cs="http://schemas.microsoft.com/office/drawing/2012/chartStyle" xmlns:a="http://schemas.openxmlformats.org/drawingml/2006/main" id="205">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6.xml><?xml version="1.0" encoding="utf-8"?>
<cs:chartStyle xmlns:cs="http://schemas.microsoft.com/office/drawing/2012/chartStyle" xmlns:a="http://schemas.openxmlformats.org/drawingml/2006/main" id="205">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7.xml><?xml version="1.0" encoding="utf-8"?>
<cs:chartStyle xmlns:cs="http://schemas.microsoft.com/office/drawing/2012/chartStyle" xmlns:a="http://schemas.openxmlformats.org/drawingml/2006/main" id="205">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8.xml><?xml version="1.0" encoding="utf-8"?>
<cs:chartStyle xmlns:cs="http://schemas.microsoft.com/office/drawing/2012/chartStyle" xmlns:a="http://schemas.openxmlformats.org/drawingml/2006/main" id="205">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9.xml><?xml version="1.0" encoding="utf-8"?>
<cs:chartStyle xmlns:cs="http://schemas.microsoft.com/office/drawing/2012/chartStyle" xmlns:a="http://schemas.openxmlformats.org/drawingml/2006/main" id="205">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3" Type="http://schemas.openxmlformats.org/officeDocument/2006/relationships/customXml" Target="../ink/ink2.xml"/><Relationship Id="rId2" Type="http://schemas.openxmlformats.org/officeDocument/2006/relationships/image" Target="../media/image1.png"/><Relationship Id="rId1" Type="http://schemas.openxmlformats.org/officeDocument/2006/relationships/customXml" Target="../ink/ink1.xml"/><Relationship Id="rId6" Type="http://schemas.openxmlformats.org/officeDocument/2006/relationships/image" Target="../media/image3.png"/><Relationship Id="rId5" Type="http://schemas.openxmlformats.org/officeDocument/2006/relationships/customXml" Target="../ink/ink3.xml"/><Relationship Id="rId4" Type="http://schemas.openxmlformats.org/officeDocument/2006/relationships/image" Target="../media/image2.png"/></Relationships>
</file>

<file path=xl/drawings/_rels/drawing10.xml.rels><?xml version="1.0" encoding="UTF-8" standalone="yes"?>
<Relationships xmlns="http://schemas.openxmlformats.org/package/2006/relationships"><Relationship Id="rId1" Type="http://schemas.openxmlformats.org/officeDocument/2006/relationships/chart" Target="../charts/chart9.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18.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1" Type="http://schemas.openxmlformats.org/officeDocument/2006/relationships/chart" Target="../charts/chart4.xml"/></Relationships>
</file>

<file path=xl/drawings/_rels/drawing6.xml.rels><?xml version="1.0" encoding="UTF-8" standalone="yes"?>
<Relationships xmlns="http://schemas.openxmlformats.org/package/2006/relationships"><Relationship Id="rId1" Type="http://schemas.openxmlformats.org/officeDocument/2006/relationships/chart" Target="../charts/chart5.xml"/></Relationships>
</file>

<file path=xl/drawings/_rels/drawing7.xml.rels><?xml version="1.0" encoding="UTF-8" standalone="yes"?>
<Relationships xmlns="http://schemas.openxmlformats.org/package/2006/relationships"><Relationship Id="rId1" Type="http://schemas.openxmlformats.org/officeDocument/2006/relationships/chart" Target="../charts/chart6.xml"/></Relationships>
</file>

<file path=xl/drawings/_rels/drawing8.xml.rels><?xml version="1.0" encoding="UTF-8" standalone="yes"?>
<Relationships xmlns="http://schemas.openxmlformats.org/package/2006/relationships"><Relationship Id="rId1" Type="http://schemas.openxmlformats.org/officeDocument/2006/relationships/chart" Target="../charts/chart7.xml"/></Relationships>
</file>

<file path=xl/drawings/_rels/drawing9.xml.rels><?xml version="1.0" encoding="UTF-8" standalone="yes"?>
<Relationships xmlns="http://schemas.openxmlformats.org/package/2006/relationships"><Relationship Id="rId1"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dr:twoCellAnchor editAs="oneCell">
    <xdr:from>
      <xdr:col>2</xdr:col>
      <xdr:colOff>197057</xdr:colOff>
      <xdr:row>23</xdr:row>
      <xdr:rowOff>690730</xdr:rowOff>
    </xdr:from>
    <xdr:to>
      <xdr:col>2</xdr:col>
      <xdr:colOff>485777</xdr:colOff>
      <xdr:row>23</xdr:row>
      <xdr:rowOff>1114450</xdr:rowOff>
    </xdr:to>
    <mc:AlternateContent xmlns:mc="http://schemas.openxmlformats.org/markup-compatibility/2006">
      <mc:Choice xmlns:xdr14="http://schemas.microsoft.com/office/excel/2010/spreadsheetDrawing" Requires="xdr14">
        <xdr:contentPart xmlns:r="http://schemas.openxmlformats.org/officeDocument/2006/relationships" r:id="rId1">
          <xdr14:nvContentPartPr>
            <xdr14:cNvPr id="5" name="Ink 4">
              <a:extLst>
                <a:ext uri="{FF2B5EF4-FFF2-40B4-BE49-F238E27FC236}">
                  <a16:creationId xmlns:a16="http://schemas.microsoft.com/office/drawing/2014/main" id="{8C4CE60B-42B4-DE44-57D7-24D1862C8692}"/>
                </a:ext>
              </a:extLst>
            </xdr14:cNvPr>
            <xdr14:cNvContentPartPr/>
          </xdr14:nvContentPartPr>
          <xdr14:nvPr macro=""/>
          <xdr14:xfrm>
            <a:off x="4380120" y="7945605"/>
            <a:ext cx="288720" cy="423720"/>
          </xdr14:xfrm>
        </xdr:contentPart>
      </mc:Choice>
      <mc:Fallback>
        <xdr:pic>
          <xdr:nvPicPr>
            <xdr:cNvPr id="5" name="Ink 4">
              <a:extLst>
                <a:ext uri="{FF2B5EF4-FFF2-40B4-BE49-F238E27FC236}">
                  <a16:creationId xmlns:a16="http://schemas.microsoft.com/office/drawing/2014/main" id="{8C4CE60B-42B4-DE44-57D7-24D1862C8692}"/>
                </a:ext>
              </a:extLst>
            </xdr:cNvPr>
            <xdr:cNvPicPr/>
          </xdr:nvPicPr>
          <xdr:blipFill>
            <a:blip xmlns:r="http://schemas.openxmlformats.org/officeDocument/2006/relationships" r:embed="rId2"/>
            <a:stretch>
              <a:fillRect/>
            </a:stretch>
          </xdr:blipFill>
          <xdr:spPr>
            <a:xfrm>
              <a:off x="4375800" y="7941285"/>
              <a:ext cx="297360" cy="432360"/>
            </a:xfrm>
            <a:prstGeom prst="rect">
              <a:avLst/>
            </a:prstGeom>
          </xdr:spPr>
        </xdr:pic>
      </mc:Fallback>
    </mc:AlternateContent>
    <xdr:clientData/>
  </xdr:twoCellAnchor>
  <xdr:twoCellAnchor editAs="oneCell">
    <xdr:from>
      <xdr:col>2</xdr:col>
      <xdr:colOff>830232</xdr:colOff>
      <xdr:row>23</xdr:row>
      <xdr:rowOff>73330</xdr:rowOff>
    </xdr:from>
    <xdr:to>
      <xdr:col>4</xdr:col>
      <xdr:colOff>28320</xdr:colOff>
      <xdr:row>23</xdr:row>
      <xdr:rowOff>1208705</xdr:rowOff>
    </xdr:to>
    <mc:AlternateContent xmlns:mc="http://schemas.openxmlformats.org/markup-compatibility/2006">
      <mc:Choice xmlns:xdr14="http://schemas.microsoft.com/office/excel/2010/spreadsheetDrawing" Requires="xdr14">
        <xdr:contentPart xmlns:r="http://schemas.openxmlformats.org/officeDocument/2006/relationships" r:id="rId3">
          <xdr14:nvContentPartPr>
            <xdr14:cNvPr id="13" name="Ink 12">
              <a:extLst>
                <a:ext uri="{FF2B5EF4-FFF2-40B4-BE49-F238E27FC236}">
                  <a16:creationId xmlns:a16="http://schemas.microsoft.com/office/drawing/2014/main" id="{1B321DF9-142B-31CE-8101-66D490F9A2C2}"/>
                </a:ext>
              </a:extLst>
            </xdr14:cNvPr>
            <xdr14:cNvContentPartPr/>
          </xdr14:nvContentPartPr>
          <xdr14:nvPr macro=""/>
          <xdr14:xfrm>
            <a:off x="5013295" y="7328205"/>
            <a:ext cx="1571400" cy="1135375"/>
          </xdr14:xfrm>
        </xdr:contentPart>
      </mc:Choice>
      <mc:Fallback>
        <xdr:pic>
          <xdr:nvPicPr>
            <xdr:cNvPr id="13" name="Ink 12">
              <a:extLst>
                <a:ext uri="{FF2B5EF4-FFF2-40B4-BE49-F238E27FC236}">
                  <a16:creationId xmlns:a16="http://schemas.microsoft.com/office/drawing/2014/main" id="{1B321DF9-142B-31CE-8101-66D490F9A2C2}"/>
                </a:ext>
              </a:extLst>
            </xdr:cNvPr>
            <xdr:cNvPicPr/>
          </xdr:nvPicPr>
          <xdr:blipFill>
            <a:blip xmlns:r="http://schemas.openxmlformats.org/officeDocument/2006/relationships" r:embed="rId4"/>
            <a:stretch>
              <a:fillRect/>
            </a:stretch>
          </xdr:blipFill>
          <xdr:spPr>
            <a:xfrm>
              <a:off x="5008975" y="7323898"/>
              <a:ext cx="1580040" cy="1143990"/>
            </a:xfrm>
            <a:prstGeom prst="rect">
              <a:avLst/>
            </a:prstGeom>
          </xdr:spPr>
        </xdr:pic>
      </mc:Fallback>
    </mc:AlternateContent>
    <xdr:clientData/>
  </xdr:twoCellAnchor>
  <xdr:twoCellAnchor editAs="oneCell">
    <xdr:from>
      <xdr:col>1</xdr:col>
      <xdr:colOff>80485</xdr:colOff>
      <xdr:row>23</xdr:row>
      <xdr:rowOff>320225</xdr:rowOff>
    </xdr:from>
    <xdr:to>
      <xdr:col>1</xdr:col>
      <xdr:colOff>1468940</xdr:colOff>
      <xdr:row>23</xdr:row>
      <xdr:rowOff>1692610</xdr:rowOff>
    </xdr:to>
    <mc:AlternateContent xmlns:mc="http://schemas.openxmlformats.org/markup-compatibility/2006">
      <mc:Choice xmlns:xdr14="http://schemas.microsoft.com/office/excel/2010/spreadsheetDrawing" Requires="xdr14">
        <xdr:contentPart xmlns:r="http://schemas.openxmlformats.org/officeDocument/2006/relationships" r:id="rId5">
          <xdr14:nvContentPartPr>
            <xdr14:cNvPr id="36" name="Ink 35">
              <a:extLst>
                <a:ext uri="{FF2B5EF4-FFF2-40B4-BE49-F238E27FC236}">
                  <a16:creationId xmlns:a16="http://schemas.microsoft.com/office/drawing/2014/main" id="{6EF1292B-317D-7C28-915A-B885667A76DC}"/>
                </a:ext>
              </a:extLst>
            </xdr14:cNvPr>
            <xdr14:cNvContentPartPr/>
          </xdr14:nvContentPartPr>
          <xdr14:nvPr macro=""/>
          <xdr14:xfrm>
            <a:off x="477360" y="7575100"/>
            <a:ext cx="1388455" cy="1372385"/>
          </xdr14:xfrm>
        </xdr:contentPart>
      </mc:Choice>
      <mc:Fallback>
        <xdr:pic>
          <xdr:nvPicPr>
            <xdr:cNvPr id="36" name="Ink 35">
              <a:extLst>
                <a:ext uri="{FF2B5EF4-FFF2-40B4-BE49-F238E27FC236}">
                  <a16:creationId xmlns:a16="http://schemas.microsoft.com/office/drawing/2014/main" id="{6EF1292B-317D-7C28-915A-B885667A76DC}"/>
                </a:ext>
              </a:extLst>
            </xdr:cNvPr>
            <xdr:cNvPicPr/>
          </xdr:nvPicPr>
          <xdr:blipFill>
            <a:blip xmlns:r="http://schemas.openxmlformats.org/officeDocument/2006/relationships" r:embed="rId6"/>
            <a:stretch>
              <a:fillRect/>
            </a:stretch>
          </xdr:blipFill>
          <xdr:spPr>
            <a:xfrm>
              <a:off x="473040" y="7570781"/>
              <a:ext cx="1397095" cy="1381023"/>
            </a:xfrm>
            <a:prstGeom prst="rect">
              <a:avLst/>
            </a:prstGeom>
          </xdr:spPr>
        </xdr:pic>
      </mc:Fallback>
    </mc:AlternateContent>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0</xdr:row>
      <xdr:rowOff>0</xdr:rowOff>
    </xdr:from>
    <xdr:to>
      <xdr:col>8</xdr:col>
      <xdr:colOff>159542</xdr:colOff>
      <xdr:row>20</xdr:row>
      <xdr:rowOff>41434</xdr:rowOff>
    </xdr:to>
    <xdr:graphicFrame macro="">
      <xdr:nvGraphicFramePr>
        <xdr:cNvPr id="2" name="Chart 1">
          <a:extLst>
            <a:ext uri="{FF2B5EF4-FFF2-40B4-BE49-F238E27FC236}">
              <a16:creationId xmlns:a16="http://schemas.microsoft.com/office/drawing/2014/main" id="{00000000-0008-0000-0B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1</xdr:rowOff>
    </xdr:from>
    <xdr:to>
      <xdr:col>10</xdr:col>
      <xdr:colOff>127000</xdr:colOff>
      <xdr:row>33</xdr:row>
      <xdr:rowOff>52916</xdr:rowOff>
    </xdr:to>
    <xdr:graphicFrame macro="">
      <xdr:nvGraphicFramePr>
        <xdr:cNvPr id="4" name="Chart 3">
          <a:extLst>
            <a:ext uri="{FF2B5EF4-FFF2-40B4-BE49-F238E27FC236}">
              <a16:creationId xmlns:a16="http://schemas.microsoft.com/office/drawing/2014/main" id="{5C6FB75E-5DF2-EEE6-1718-2941E977CAB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0</xdr:row>
      <xdr:rowOff>42333</xdr:rowOff>
    </xdr:from>
    <xdr:to>
      <xdr:col>5</xdr:col>
      <xdr:colOff>1894416</xdr:colOff>
      <xdr:row>35</xdr:row>
      <xdr:rowOff>137583</xdr:rowOff>
    </xdr:to>
    <xdr:graphicFrame macro="">
      <xdr:nvGraphicFramePr>
        <xdr:cNvPr id="3" name="Chart 2">
          <a:extLst>
            <a:ext uri="{FF2B5EF4-FFF2-40B4-BE49-F238E27FC236}">
              <a16:creationId xmlns:a16="http://schemas.microsoft.com/office/drawing/2014/main" id="{6A8DE5A9-60BD-A812-E069-C6851626568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3</xdr:col>
      <xdr:colOff>43815</xdr:colOff>
      <xdr:row>0</xdr:row>
      <xdr:rowOff>41910</xdr:rowOff>
    </xdr:from>
    <xdr:to>
      <xdr:col>16</xdr:col>
      <xdr:colOff>139065</xdr:colOff>
      <xdr:row>17</xdr:row>
      <xdr:rowOff>139065</xdr:rowOff>
    </xdr:to>
    <xdr:graphicFrame macro="">
      <xdr:nvGraphicFramePr>
        <xdr:cNvPr id="2" name="Chart 1">
          <a:extLst>
            <a:ext uri="{FF2B5EF4-FFF2-40B4-BE49-F238E27FC236}">
              <a16:creationId xmlns:a16="http://schemas.microsoft.com/office/drawing/2014/main" id="{00000000-0008-0000-0E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0</xdr:col>
      <xdr:colOff>0</xdr:colOff>
      <xdr:row>0</xdr:row>
      <xdr:rowOff>41910</xdr:rowOff>
    </xdr:from>
    <xdr:to>
      <xdr:col>16</xdr:col>
      <xdr:colOff>139065</xdr:colOff>
      <xdr:row>22</xdr:row>
      <xdr:rowOff>76200</xdr:rowOff>
    </xdr:to>
    <xdr:graphicFrame macro="">
      <xdr:nvGraphicFramePr>
        <xdr:cNvPr id="2" name="Chart 1">
          <a:extLst>
            <a:ext uri="{FF2B5EF4-FFF2-40B4-BE49-F238E27FC236}">
              <a16:creationId xmlns:a16="http://schemas.microsoft.com/office/drawing/2014/main" id="{00000000-0008-0000-0F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3</xdr:col>
      <xdr:colOff>43815</xdr:colOff>
      <xdr:row>0</xdr:row>
      <xdr:rowOff>41910</xdr:rowOff>
    </xdr:from>
    <xdr:to>
      <xdr:col>16</xdr:col>
      <xdr:colOff>139065</xdr:colOff>
      <xdr:row>32</xdr:row>
      <xdr:rowOff>139065</xdr:rowOff>
    </xdr:to>
    <xdr:graphicFrame macro="">
      <xdr:nvGraphicFramePr>
        <xdr:cNvPr id="2" name="Chart 1">
          <a:extLst>
            <a:ext uri="{FF2B5EF4-FFF2-40B4-BE49-F238E27FC236}">
              <a16:creationId xmlns:a16="http://schemas.microsoft.com/office/drawing/2014/main" id="{00000000-0008-0000-1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3</xdr:col>
      <xdr:colOff>43815</xdr:colOff>
      <xdr:row>0</xdr:row>
      <xdr:rowOff>41910</xdr:rowOff>
    </xdr:from>
    <xdr:to>
      <xdr:col>16</xdr:col>
      <xdr:colOff>139065</xdr:colOff>
      <xdr:row>17</xdr:row>
      <xdr:rowOff>139065</xdr:rowOff>
    </xdr:to>
    <xdr:graphicFrame macro="">
      <xdr:nvGraphicFramePr>
        <xdr:cNvPr id="2" name="Chart 1">
          <a:extLst>
            <a:ext uri="{FF2B5EF4-FFF2-40B4-BE49-F238E27FC236}">
              <a16:creationId xmlns:a16="http://schemas.microsoft.com/office/drawing/2014/main" id="{00000000-0008-0000-1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0</xdr:col>
      <xdr:colOff>0</xdr:colOff>
      <xdr:row>0</xdr:row>
      <xdr:rowOff>104774</xdr:rowOff>
    </xdr:from>
    <xdr:to>
      <xdr:col>15</xdr:col>
      <xdr:colOff>180975</xdr:colOff>
      <xdr:row>18</xdr:row>
      <xdr:rowOff>38099</xdr:rowOff>
    </xdr:to>
    <xdr:graphicFrame macro="">
      <xdr:nvGraphicFramePr>
        <xdr:cNvPr id="3" name="Chart 2">
          <a:extLst>
            <a:ext uri="{FF2B5EF4-FFF2-40B4-BE49-F238E27FC236}">
              <a16:creationId xmlns:a16="http://schemas.microsoft.com/office/drawing/2014/main" id="{00000000-0008-0000-12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3</xdr:col>
      <xdr:colOff>43815</xdr:colOff>
      <xdr:row>1</xdr:row>
      <xdr:rowOff>41910</xdr:rowOff>
    </xdr:from>
    <xdr:to>
      <xdr:col>16</xdr:col>
      <xdr:colOff>139065</xdr:colOff>
      <xdr:row>20</xdr:row>
      <xdr:rowOff>139065</xdr:rowOff>
    </xdr:to>
    <xdr:graphicFrame macro="">
      <xdr:nvGraphicFramePr>
        <xdr:cNvPr id="2" name="Chart 1">
          <a:extLst>
            <a:ext uri="{FF2B5EF4-FFF2-40B4-BE49-F238E27FC236}">
              <a16:creationId xmlns:a16="http://schemas.microsoft.com/office/drawing/2014/main" id="{00000000-0008-0000-1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1</xdr:colOff>
      <xdr:row>0</xdr:row>
      <xdr:rowOff>0</xdr:rowOff>
    </xdr:from>
    <xdr:to>
      <xdr:col>14</xdr:col>
      <xdr:colOff>581025</xdr:colOff>
      <xdr:row>19</xdr:row>
      <xdr:rowOff>19050</xdr:rowOff>
    </xdr:to>
    <xdr:graphicFrame macro="">
      <xdr:nvGraphicFramePr>
        <xdr:cNvPr id="2" name="Chart 1">
          <a:extLst>
            <a:ext uri="{FF2B5EF4-FFF2-40B4-BE49-F238E27FC236}">
              <a16:creationId xmlns:a16="http://schemas.microsoft.com/office/drawing/2014/main" id="{00000000-0008-0000-0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38100</xdr:colOff>
      <xdr:row>0</xdr:row>
      <xdr:rowOff>0</xdr:rowOff>
    </xdr:from>
    <xdr:to>
      <xdr:col>10</xdr:col>
      <xdr:colOff>466725</xdr:colOff>
      <xdr:row>21</xdr:row>
      <xdr:rowOff>142875</xdr:rowOff>
    </xdr:to>
    <xdr:graphicFrame macro="">
      <xdr:nvGraphicFramePr>
        <xdr:cNvPr id="2" name="Chart 1">
          <a:extLst>
            <a:ext uri="{FF2B5EF4-FFF2-40B4-BE49-F238E27FC236}">
              <a16:creationId xmlns:a16="http://schemas.microsoft.com/office/drawing/2014/main" id="{00000000-0008-0000-0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19050</xdr:colOff>
      <xdr:row>0</xdr:row>
      <xdr:rowOff>21897</xdr:rowOff>
    </xdr:from>
    <xdr:to>
      <xdr:col>12</xdr:col>
      <xdr:colOff>9524</xdr:colOff>
      <xdr:row>25</xdr:row>
      <xdr:rowOff>180975</xdr:rowOff>
    </xdr:to>
    <xdr:graphicFrame macro="">
      <xdr:nvGraphicFramePr>
        <xdr:cNvPr id="2" name="Chart 1">
          <a:extLst>
            <a:ext uri="{FF2B5EF4-FFF2-40B4-BE49-F238E27FC236}">
              <a16:creationId xmlns:a16="http://schemas.microsoft.com/office/drawing/2014/main" id="{00000000-0008-0000-0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14</xdr:col>
      <xdr:colOff>28574</xdr:colOff>
      <xdr:row>24</xdr:row>
      <xdr:rowOff>9525</xdr:rowOff>
    </xdr:to>
    <xdr:graphicFrame macro="">
      <xdr:nvGraphicFramePr>
        <xdr:cNvPr id="3" name="Chart 2">
          <a:extLst>
            <a:ext uri="{FF2B5EF4-FFF2-40B4-BE49-F238E27FC236}">
              <a16:creationId xmlns:a16="http://schemas.microsoft.com/office/drawing/2014/main" id="{130BDB04-1E2F-068B-A3E0-30B0E642C3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0</xdr:rowOff>
    </xdr:from>
    <xdr:to>
      <xdr:col>13</xdr:col>
      <xdr:colOff>523874</xdr:colOff>
      <xdr:row>24</xdr:row>
      <xdr:rowOff>0</xdr:rowOff>
    </xdr:to>
    <xdr:graphicFrame macro="">
      <xdr:nvGraphicFramePr>
        <xdr:cNvPr id="2" name="Chart 1">
          <a:extLst>
            <a:ext uri="{FF2B5EF4-FFF2-40B4-BE49-F238E27FC236}">
              <a16:creationId xmlns:a16="http://schemas.microsoft.com/office/drawing/2014/main" id="{E8AA4C38-DD69-F466-B27A-9E4EDDFD6D0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23811</xdr:rowOff>
    </xdr:from>
    <xdr:to>
      <xdr:col>12</xdr:col>
      <xdr:colOff>19049</xdr:colOff>
      <xdr:row>24</xdr:row>
      <xdr:rowOff>9524</xdr:rowOff>
    </xdr:to>
    <xdr:graphicFrame macro="">
      <xdr:nvGraphicFramePr>
        <xdr:cNvPr id="2" name="Chart 1">
          <a:extLst>
            <a:ext uri="{FF2B5EF4-FFF2-40B4-BE49-F238E27FC236}">
              <a16:creationId xmlns:a16="http://schemas.microsoft.com/office/drawing/2014/main" id="{E43F7A0B-D7F4-FC75-76FD-D0C10A9DE9F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17145</xdr:rowOff>
    </xdr:from>
    <xdr:to>
      <xdr:col>11</xdr:col>
      <xdr:colOff>552450</xdr:colOff>
      <xdr:row>22</xdr:row>
      <xdr:rowOff>180975</xdr:rowOff>
    </xdr:to>
    <xdr:graphicFrame macro="">
      <xdr:nvGraphicFramePr>
        <xdr:cNvPr id="2" name="Chart 1">
          <a:extLst>
            <a:ext uri="{FF2B5EF4-FFF2-40B4-BE49-F238E27FC236}">
              <a16:creationId xmlns:a16="http://schemas.microsoft.com/office/drawing/2014/main" id="{00000000-0008-0000-07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0</xdr:row>
      <xdr:rowOff>0</xdr:rowOff>
    </xdr:from>
    <xdr:to>
      <xdr:col>8</xdr:col>
      <xdr:colOff>781050</xdr:colOff>
      <xdr:row>19</xdr:row>
      <xdr:rowOff>28575</xdr:rowOff>
    </xdr:to>
    <xdr:graphicFrame macro="">
      <xdr:nvGraphicFramePr>
        <xdr:cNvPr id="2" name="Chart 1">
          <a:extLst>
            <a:ext uri="{FF2B5EF4-FFF2-40B4-BE49-F238E27FC236}">
              <a16:creationId xmlns:a16="http://schemas.microsoft.com/office/drawing/2014/main" id="{00000000-0008-0000-09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ink/ink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10-24T23:29:39.712"/>
    </inkml:context>
    <inkml:brush xml:id="br0">
      <inkml:brushProperty name="width" value="0.025" units="cm"/>
      <inkml:brushProperty name="height" value="0.025" units="cm"/>
      <inkml:brushProperty name="color" value="#006EC0"/>
    </inkml:brush>
  </inkml:definitions>
  <inkml:trace contextRef="#ctx0" brushRef="#br0">233 54 17748 0 0,'0'0'4518'0'0,"-25"3"-4413"0"0,-79 10-206 0 0,42-7-353 0 0,59-6 337 0 0,-1 0 0 0 0,1-1 0 0 0,0 1 1 0 0,0-1-1 0 0,0 1 0 0 0,0-1 1 0 0,0 0-1 0 0,0 0 0 0 0,-4-2 0 0 0,6 2-5 0 0,1 1-1 0 0,0 0 0 0 0,-1 0 1 0 0,1 0-1 0 0,0 0 0 0 0,-1 0 0 0 0,1-1 1 0 0,0 1-1 0 0,-1 0 0 0 0,1 0 1 0 0,0-1-1 0 0,-1 1 0 0 0,1 0 0 0 0,0 0 1 0 0,0-1-1 0 0,0 1 0 0 0,-1 0 1 0 0,1-1-1 0 0,0 1 0 0 0,0 0 0 0 0,0-1 1 0 0,0 1-1 0 0,-1 0 0 0 0,1-1 1 0 0,0 1-1 0 0,0 0 0 0 0,0-1 1 0 0,0 1-1 0 0,0-1 0 0 0,0 1 0 0 0,0 0 1 0 0,0-1-1 0 0,10-10-1812 0 0,22-6 34 0 0,-14 11 1632 0 0,1 0 0 0 0,0 1 0 0 0,34-4 1 0 0,-33 7 895 0 0,1 1 0 0 0,0 1 1 0 0,34 4-1 0 0,-41-3-72 0 0,0 2 1 0 0,0 0 0 0 0,0 0-1 0 0,0 1 1 0 0,-1 1 0 0 0,0 0-1 0 0,0 1 1 0 0,0 1 0 0 0,-1 0-1 0 0,0 0 1 0 0,0 1 0 0 0,-1 1-1 0 0,0 0 1 0 0,13 13-1 0 0,-19-16-327 0 0,0 1-1 0 0,0 0 0 0 0,-1 0 0 0 0,0 0 0 0 0,0 1 0 0 0,-1-1 1 0 0,0 1-1 0 0,0 0 0 0 0,0 0 0 0 0,-1 0 0 0 0,1 12 1 0 0,-1 3 353 0 0,0-1 1 0 0,-4 46 0 0 0,0-51-382 0 0,-1 0-1 0 0,-1 0 1 0 0,0-1 0 0 0,-1 1-1 0 0,-11 25 1 0 0,3-13 73 0 0,-2-1 1 0 0,-19 28-1 0 0,25-36-209 0 0,8-19-108 0 0,15-4-224 0 0,42-17 266 0 0,59-17 55 0 0,-98 33-45 0 0,0 1 1 0 0,0 1 0 0 0,0 0-1 0 0,0 1 1 0 0,18 1 0 0 0,-31 1-1 0 0,-1-1 0 0 0,1 1 1 0 0,-1-1-1 0 0,1 1 0 0 0,-1 1 1 0 0,0-1-1 0 0,0 0 0 0 0,1 1 1 0 0,-1-1-1 0 0,0 1 0 0 0,0 0 1 0 0,-1 0-1 0 0,1 0 0 0 0,0 1 1 0 0,-1-1-1 0 0,1 1 0 0 0,-1-1 1 0 0,0 1-1 0 0,0 0 0 0 0,0 0 1 0 0,0 0-1 0 0,0 0 1 0 0,-1 0-1 0 0,1 0 0 0 0,-1 0 1 0 0,0 0-1 0 0,2 7 0 0 0,0 7 119 0 0,0-1-1 0 0,0 1 1 0 0,-2-1 0 0 0,0 26-1 0 0,-2-24-18 0 0,0-1-1 0 0,-2 1 0 0 0,0-1 1 0 0,-1 0-1 0 0,0 0 0 0 0,-2 0 0 0 0,0 0 1 0 0,0-1-1 0 0,-11 17 0 0 0,-1-1 40 0 0,-2-1-1 0 0,-1 0 1 0 0,-33 35-1 0 0,35-45-99 0 0,-1-1 0 0 0,-1-1 0 0 0,-1-1 0 0 0,0-1 0 0 0,-37 21 0 0 0,54-35-59 0 0,1-1 0 0 0,0 0 0 0 0,-1 0 0 0 0,1 0 0 0 0,-1-1 0 0 0,1 1 0 0 0,-1-1 0 0 0,0 0 0 0 0,1 0 0 0 0,-1-1 1 0 0,0 0-1 0 0,0 1 0 0 0,0-2 0 0 0,-7 0 0 0 0,6 0-78 0 0,0-1-1 0 0,0 0 1 0 0,0-1 0 0 0,0 1 0 0 0,0-1 0 0 0,1 0 0 0 0,-1-1-1 0 0,1 1 1 0 0,0-1 0 0 0,-7-6 0 0 0,-1-2-224 0 0,0-1 0 0 0,1 0 0 0 0,0-1 0 0 0,-14-21-1 0 0,20 25-320 0 0,0 0-1 0 0,-8-21 0 0 0,11 23-506 0 0,1-1 1 0 0,-1 1 0 0 0,2-1 0 0 0,-2-12-1 0 0,2 5-10239 0 0</inkml:trace>
</inkml:ink>
</file>

<file path=xl/ink/ink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10-24T23:29:40.828"/>
    </inkml:context>
    <inkml:brush xml:id="br0">
      <inkml:brushProperty name="width" value="0.025" units="cm"/>
      <inkml:brushProperty name="height" value="0.025" units="cm"/>
      <inkml:brushProperty name="color" value="#006EC0"/>
    </inkml:brush>
  </inkml:definitions>
  <inkml:trace contextRef="#ctx0" brushRef="#br0">34 1791 1728 0 0,'0'0'3373'0'0,"-3"33"219"0"0,-7 115-134 0 0,-1 50 2389 0 0,3 62-1274 0 0,8-238-4249 0 0,-2 38 636 0 0,3 1 0 0 0,10 69 0 0 0,-9-114-827 0 0,1 1-1 0 0,0-2 1 0 0,2 1-1 0 0,0 0 1 0 0,0-1-1 0 0,1 0 1 0 0,1 0 0 0 0,1-1-1 0 0,0 0 1 0 0,1 0-1 0 0,0-1 1 0 0,1 0 0 0 0,13 13-1 0 0,-15-19-134 0 0,1-1 0 0 0,0 0 0 0 0,0 0 0 0 0,0-1 0 0 0,1 0 0 0 0,0-1 0 0 0,0 0 0 0 0,0-1 0 0 0,0 0 0 0 0,1 0 0 0 0,-1-1 0 0 0,14 1 0 0 0,-1-1-1271 0 0,34 0-1 0 0,15-8-7234 0 0,-41 1-3609 0 0</inkml:trace>
  <inkml:trace contextRef="#ctx0" brushRef="#br0" timeOffset="1068.35">866 2581 7578 0 0,'0'0'21231'0'0,"-7"12"-20896"0"0,-26 37-23 0 0,32-47-274 0 0,0 0-1 0 0,-1 0 1 0 0,1 0 0 0 0,0-1 0 0 0,-1 1 0 0 0,0-1 0 0 0,1 1 0 0 0,-1-1 0 0 0,0 1 0 0 0,1-1 0 0 0,-1 0 0 0 0,0 0-1 0 0,0 0 1 0 0,0 0 0 0 0,0 0 0 0 0,-3 0 0 0 0,4-1-30 0 0,0 0 1 0 0,0 0-1 0 0,-1 0 0 0 0,1 0 1 0 0,0 0-1 0 0,0-1 0 0 0,0 1 1 0 0,0 0-1 0 0,0-1 0 0 0,0 1 1 0 0,0-1-1 0 0,-1 1 0 0 0,1-1 1 0 0,0 0-1 0 0,1 1 0 0 0,-1-1 0 0 0,0 0 1 0 0,0 0-1 0 0,0 1 0 0 0,-1-3 1 0 0,-2-2-24 0 0,1 0-1 0 0,0-1 1 0 0,0 1 0 0 0,0-1 0 0 0,1 0 0 0 0,0 0-1 0 0,-3-9 1 0 0,-10-55-835 0 0,3-1 0 0 0,-3-90-1 0 0,9-145-4281 0 0,6 270 4228 0 0,0 16 436 0 0,5-152-7321 0 0,-2 145 5583 0 0,0 0-1 0 0,2 0 1 0 0,1 0-1 0 0,12-31 0 0 0,-16 52 2000 0 0,0 0-1 0 0,1 0 0 0 0,0 0 0 0 0,0 1 0 0 0,0-1 0 0 0,1 1 1 0 0,-1 0-1 0 0,1 0 0 0 0,1 0 0 0 0,4-4 1 0 0,-7 8 208 0 0,0-1-1 0 0,-1 1 0 0 0,1 0 1 0 0,0 0-1 0 0,0 0 0 0 0,0 1 0 0 0,0-1 1 0 0,0 0-1 0 0,0 1 0 0 0,0-1 1 0 0,0 1-1 0 0,1 0 0 0 0,-1 0 1 0 0,0-1-1 0 0,0 2 0 0 0,0-1 0 0 0,0 0 1 0 0,0 0-1 0 0,0 1 0 0 0,1-1 1 0 0,-1 1-1 0 0,0-1 0 0 0,0 1 1 0 0,0 0-1 0 0,0 0 0 0 0,-1 0 0 0 0,1 0 1 0 0,0 0-1 0 0,0 0 0 0 0,-1 1 0 0 0,4 2 0 0 0,7 7-6 0 0,0 0-1 0 0,13 16 0 0 0,-11-9 2001 0 0,0 1 2 0 0,18 33 0 0 0,-18-24 1127 0 0,-1 1 0 0 0,-2 0-1 0 0,14 50 1 0 0,-18-47-1941 0 0,-1 0 0 0 0,-1 0-1 0 0,-2 1 1 0 0,-2 36 0 0 0,-2-35-753 0 0,-2 1 0 0 0,-2-1 0 0 0,-1 0 0 0 0,-2 0 1 0 0,-1-1-1 0 0,-20 51 0 0 0,-40 63 446 0 0,68-145-861 0 0,0 0 1 0 0,0 0-1 0 0,0 0 1 0 0,0 0-1 0 0,1 0 1 0 0,-1 0-1 0 0,0 0 1 0 0,1 0-1 0 0,0 0 1 0 0,-1 0 0 0 0,1 0-1 0 0,0 0 1 0 0,0 4-1 0 0,0-5-9 0 0,1 0-1 0 0,-1 0 1 0 0,1-1-1 0 0,-1 1 1 0 0,1 0-1 0 0,-1 0 1 0 0,1-1-1 0 0,0 1 1 0 0,-1 0-1 0 0,1-1 1 0 0,0 1 0 0 0,-1-1-1 0 0,1 1 1 0 0,0-1-1 0 0,0 1 1 0 0,0-1-1 0 0,-1 0 1 0 0,1 1-1 0 0,0-1 1 0 0,0 0-1 0 0,0 1 1 0 0,0-1-1 0 0,0 0 1 0 0,0 0 0 0 0,0 0-1 0 0,0 0 1 0 0,-1 0-1 0 0,1 0 1 0 0,0 0-1 0 0,1-1 1 0 0,46-1 281 0 0,0-3 0 0 0,83-19 1 0 0,-84 14-231 0 0,-26 6-42 0 0,1-1 0 0 0,-1-2 1 0 0,-1 0-1 0 0,1-1 1 0 0,-1-1-1 0 0,-1-1 0 0 0,22-14 1 0 0,-34 19-5 0 0,0 0 1 0 0,0-1-1 0 0,-1 0 0 0 0,0 0 1 0 0,0-1-1 0 0,0 1 1 0 0,-1-2-1 0 0,9-14 1 0 0,-11 17 0 0 0,-1-1 0 0 0,0 0 0 0 0,0 0 0 0 0,0 0 0 0 0,0 0 1 0 0,-1-1-1 0 0,0 1 0 0 0,-1 0 0 0 0,1-1 0 0 0,-1 1 1 0 0,-1 0-1 0 0,1-1 0 0 0,-3-10 0 0 0,1 9-36 0 0,-1 0 0 0 0,0 0 0 0 0,-1 0 0 0 0,0 0 0 0 0,0 1 0 0 0,0 0 1 0 0,-1 0-1 0 0,0 0 0 0 0,-1 0 0 0 0,1 1 0 0 0,-1 0 0 0 0,0 0 0 0 0,-1 0 0 0 0,0 1 0 0 0,0 0 0 0 0,0 0 0 0 0,0 1 0 0 0,0 0 0 0 0,-1 0 0 0 0,0 1 0 0 0,0 0 1 0 0,-16-4-1 0 0,22 7 17 0 0,0 0 0 0 0,0 0 0 0 0,0 1 0 0 0,0-1 0 0 0,0 1 0 0 0,0-1 1 0 0,1 1-1 0 0,-1-1 0 0 0,0 1 0 0 0,0 0 0 0 0,0 0 0 0 0,0 0 0 0 0,1 0 1 0 0,-1 0-1 0 0,1 1 0 0 0,-1-1 0 0 0,1 0 0 0 0,-1 1 0 0 0,1-1 0 0 0,0 1 1 0 0,-1-1-1 0 0,1 1 0 0 0,0 0 0 0 0,0-1 0 0 0,0 1 0 0 0,0 0 1 0 0,1 0-1 0 0,-1 0 0 0 0,0 0 0 0 0,0 3 0 0 0,-1 4 11 0 0,-1 0-1 0 0,2 0 1 0 0,-1 0-1 0 0,1 0 1 0 0,0 11 0 0 0,1-3 37 0 0,0 0 1 0 0,1 0 0 0 0,1 0 0 0 0,1-1 0 0 0,0 1 0 0 0,2-1 0 0 0,-1 1-1 0 0,2-1 1 0 0,0-1 0 0 0,1 1 0 0 0,1-1 0 0 0,0 0 0 0 0,17 23 0 0 0,-17-27-11 0 0,1 0 1 0 0,1 0 0 0 0,0-1 0 0 0,0-1 0 0 0,1 0-1 0 0,0 0 1 0 0,0-1 0 0 0,1 0 0 0 0,0-1-1 0 0,0 0 1 0 0,1-1 0 0 0,0-1 0 0 0,24 7-1 0 0,-36-11-11 0 0,1-1-1 0 0,-1 0 0 0 0,1 0 0 0 0,-1 0 1 0 0,1 0-1 0 0,-1 0 0 0 0,1 0 0 0 0,-1 0 0 0 0,1 0 1 0 0,-1-1-1 0 0,1 1 0 0 0,-1-1 0 0 0,1 1 1 0 0,-1-1-1 0 0,1 1 0 0 0,-1-1 0 0 0,0 0 0 0 0,0 0 1 0 0,1 0-1 0 0,-1 0 0 0 0,0 0 0 0 0,0 0 1 0 0,0 0-1 0 0,0 0 0 0 0,0 0 0 0 0,0 0 1 0 0,0 0-1 0 0,0-1 0 0 0,-1 1 0 0 0,1 0 0 0 0,0-1 1 0 0,-1 1-1 0 0,1-1 0 0 0,-1 1 0 0 0,1-1 1 0 0,-1 1-1 0 0,0-2 0 0 0,3-10 79 0 0,-1 1-1 0 0,0-1 1 0 0,-1-22-1 0 0,0 11-36 0 0,2-31 29 0 0,-10-102 0 0 0,0 15-1106 0 0,8 149 998 0 0,0-1-1 0 0,0 0 0 0 0,1 0 0 0 0,0 0 0 0 0,0 0 0 0 0,1 0 1 0 0,4 9-1 0 0,7 19 108 0 0,82 281 692 0 0,-94-310-768 0 0,0 0 0 0 0,0 0 1 0 0,0-1-1 0 0,0 1 0 0 0,1 0 1 0 0,0-1-1 0 0,0 1 0 0 0,6 6 0 0 0,-8-10 9 0 0,1 1-1 0 0,-1-1 1 0 0,1 0-1 0 0,-1 1 0 0 0,1-1 1 0 0,0 0-1 0 0,0 0 1 0 0,0 0-1 0 0,-1 0 0 0 0,1 0 1 0 0,0-1-1 0 0,0 1 1 0 0,0-1-1 0 0,0 1 0 0 0,0-1 1 0 0,0 1-1 0 0,1-1 1 0 0,-1 0-1 0 0,0 0 0 0 0,0 0 1 0 0,0-1-1 0 0,0 1 1 0 0,4-1-1 0 0,-4-1 6 0 0,0 1 0 0 0,0-1 0 0 0,-1 0 0 0 0,1 0-1 0 0,0 0 1 0 0,-1 0 0 0 0,1 0 0 0 0,-1 0 0 0 0,0 0 0 0 0,1 0 0 0 0,-1-1-1 0 0,1-2 1 0 0,1-1 26 0 0,10-21 4 0 0,-1 0 1 0 0,-1-1-1 0 0,-1-1 0 0 0,11-57 1 0 0,-11 21-218 0 0,3-76 0 0 0,1-4-2791 0 0,-11 188-901 0 0,-1-19-3706 0 0,-1-5-4920 0 0</inkml:trace>
  <inkml:trace contextRef="#ctx0" brushRef="#br0" timeOffset="1280.74">2013 1970 24317 0 0,'0'0'5587'0'0,"17"27"-5281"0"0,54 87-60 0 0,-64-104-206 0 0,0 1 1 0 0,-1 1-1 0 0,-1-1 1 0 0,0 1-1 0 0,-1 0 1 0 0,4 14 0 0 0,2 8-9 0 0,3 3-813 0 0,-3-1 0 0 0,9 49 0 0 0,-11-56-995 0 0,-3-15-766 0 0,-2 1-4141 0 0,-3-5-5464 0 0</inkml:trace>
  <inkml:trace contextRef="#ctx0" brushRef="#br0" timeOffset="1470.33">1955 1420 13339 0 0,'0'0'8634'0'0,"23"171"-8042"0"0,-11-131 32 0 0,5 1-168 0 0,-6-3-232 0 0,7 2-320 0 0,-10-5-672 0 0,7 0-1969 0 0,-7-12-5664 0 0,1-9-3466 0 0</inkml:trace>
  <inkml:trace contextRef="#ctx0" brushRef="#br0" timeOffset="2173.29">2652 1706 14491 0 0,'0'0'14987'0'0,"-3"28"-14612"0"0,-12 89-76 0 0,4-70-83 0 0,-2-26-52 0 0,6-10-100 0 0,-77 105 313 0 0,41-58-133 0 0,-49 88 0 0 0,89-141-239 0 0,1 0 0 0 0,-1 0-1 0 0,1 0 1 0 0,1 1-1 0 0,-1-1 1 0 0,1 0 0 0 0,0 1-1 0 0,0-1 1 0 0,1 1-1 0 0,-1 8 1 0 0,1-13-7 0 0,1 0 0 0 0,-1-1 0 0 0,0 1 0 0 0,0-1 0 0 0,1 1-1 0 0,-1-1 1 0 0,0 1 0 0 0,1 0 0 0 0,-1-1 0 0 0,1 1 0 0 0,-1-1 0 0 0,1 0 0 0 0,-1 1 0 0 0,1-1-1 0 0,-1 1 1 0 0,1-1 0 0 0,-1 0 0 0 0,1 1 0 0 0,-1-1 0 0 0,1 0 0 0 0,-1 0 0 0 0,1 1 0 0 0,0-1-1 0 0,-1 0 1 0 0,1 0 0 0 0,0 0 0 0 0,-1 0 0 0 0,1 0 0 0 0,-1 0 0 0 0,1 0 0 0 0,0 0 0 0 0,-1 0 0 0 0,1 0-1 0 0,0 0 1 0 0,-1 0 0 0 0,1 0 0 0 0,-1-1 0 0 0,1 1 0 0 0,1-1 0 0 0,25-8 9 0 0,-3-9 15 0 0,0-1 1 0 0,35-38-1 0 0,8-7 16 0 0,-61 58-30 0 0,0 1-1 0 0,1 1 1 0 0,0-1 0 0 0,0 1-1 0 0,0 0 1 0 0,0 1 0 0 0,1 0 0 0 0,9-3-1 0 0,-15 5-11 0 0,1 0 0 0 0,0 1 0 0 0,0-1-1 0 0,0 1 1 0 0,0 0 0 0 0,0 0 0 0 0,0 0 0 0 0,0 0-1 0 0,-1 0 1 0 0,1 1 0 0 0,0-1 0 0 0,0 1 0 0 0,0 0-1 0 0,0 0 1 0 0,-1 0 0 0 0,1 0 0 0 0,0 1 0 0 0,-1-1-1 0 0,1 0 1 0 0,-1 1 0 0 0,0 0 0 0 0,1 0 0 0 0,-1 0-1 0 0,0 0 1 0 0,3 3 0 0 0,1 4-14 0 0,-1-1 0 0 0,0 1 0 0 0,0 0 0 0 0,-1 1 0 0 0,0-1 0 0 0,0 1 0 0 0,-1 0 0 0 0,-1 0 0 0 0,0 0 1 0 0,2 17-1 0 0,-1 0-33 0 0,-2 0 0 0 0,-5 52 1 0 0,2-65 26 0 0,-1-1-1 0 0,-1 0 1 0 0,0 0 0 0 0,-1 0 0 0 0,0 0 0 0 0,-1-1 0 0 0,0 0-1 0 0,-1 0 1 0 0,0-1 0 0 0,-1 1 0 0 0,-1-2 0 0 0,1 1 0 0 0,-2-1 0 0 0,1 0-1 0 0,-1-1 1 0 0,-1 0 0 0 0,-19 12 0 0 0,29-20 53 0 0,-1 0-1 0 0,1 0 1 0 0,0 0 0 0 0,-1-1 0 0 0,1 1 0 0 0,-1 0-1 0 0,0-1 1 0 0,1 1 0 0 0,-1-1 0 0 0,0 1 0 0 0,1-1-1 0 0,-1 0 1 0 0,0 0 0 0 0,1 0 0 0 0,-1 0 0 0 0,0 0-1 0 0,1 0 1 0 0,-1 0 0 0 0,0 0 0 0 0,-2-2 0 0 0,2 2-11 0 0,1-1 1 0 0,-1-1 0 0 0,1 1-1 0 0,0 0 1 0 0,-1 0 0 0 0,1 0 0 0 0,0-1-1 0 0,0 1 1 0 0,0 0 0 0 0,0-1-1 0 0,0 1 1 0 0,0-1 0 0 0,1 1-1 0 0,-1-1 1 0 0,0 0 0 0 0,0-2 0 0 0,-2-8 17 0 0,1 0 1 0 0,1-1 0 0 0,0 1 0 0 0,1-19-1 0 0,0 23-23 0 0,1-2-11 0 0,0 0-1 0 0,0 0 1 0 0,1 1 0 0 0,1-1 0 0 0,0 0 0 0 0,0 1 0 0 0,1 0-1 0 0,0 0 1 0 0,0 0 0 0 0,11-15 0 0 0,-8 12 3 0 0,1 1 1 0 0,1 1-1 0 0,0 0 0 0 0,0 0 1 0 0,1 1-1 0 0,0 0 0 0 0,17-12 0 0 0,-14 14-12 0 0,-1 1 0 0 0,1 0 0 0 0,0 1 0 0 0,0 0 0 0 0,16-3 0 0 0,73-11-71 0 0,-21 5-42 0 0,-52 7 28 0 0,76-18-51 0 0,-90 20 137 0 0,0-1 0 0 0,0 0 0 0 0,-1 0 0 0 0,22-15 0 0 0,-34 20 12 0 0,1 0 0 0 0,-1-1 0 0 0,0 0 0 0 0,0 0 0 0 0,0 1 0 0 0,-1-1 0 0 0,1 0 0 0 0,0 0 0 0 0,-1-1-1 0 0,1 1 1 0 0,-1 0 0 0 0,1 0 0 0 0,-1-1 0 0 0,0 1 0 0 0,0-1 0 0 0,0 1 0 0 0,0-5 0 0 0,-1 4 3 0 0,0 1 0 0 0,0 0 0 0 0,0 0 0 0 0,0-1 0 0 0,0 1 0 0 0,-1 0 0 0 0,1 0 0 0 0,-1 0 0 0 0,0 0 0 0 0,0 0 0 0 0,0 0 0 0 0,0 0 0 0 0,0 0 0 0 0,0 0 0 0 0,0 0 0 0 0,0 0 0 0 0,-1 1 0 0 0,1-1 0 0 0,-1 0 0 0 0,1 1 0 0 0,-4-3 0 0 0,-27-19 47 0 0,-2 1-1 0 0,-65-31 0 0 0,56 30-5 0 0,32 17-30 0 0,4 2-15 0 0,0 0 0 0 0,0 0 0 0 0,-1 1 0 0 0,1 0 0 0 0,-1 0 1 0 0,0 1-1 0 0,0 0 0 0 0,-12-2 0 0 0,19 19-95 0 0,1 3 32 0 0,2-1-1 0 0,0 1 0 0 0,1-1 0 0 0,1 1 0 0 0,1-1 0 0 0,6 17 0 0 0,48 96-245 0 0,-49-111 175 0 0,1 0-1 0 0,0 0 0 0 0,2-1 1 0 0,0-1-1 0 0,26 28 0 0 0,-29-36-980 0 0,0-1-1 0 0,0 0 1 0 0,0 0-1 0 0,18 9 1 0 0,10-2-6058 0 0,4-6-4107 0 0,-28-9 4875 0 0</inkml:trace>
  <inkml:trace contextRef="#ctx0" brushRef="#br0" timeOffset="2569.56">3493 2063 9114 0 0,'0'0'18969'0'0,"-1"-19"-18677"0"0,-4-54-81 0 0,5 73-207 0 0,0-1-1 0 0,0 0 1 0 0,0 1-1 0 0,0-1 1 0 0,0 1-1 0 0,0-1 1 0 0,0 0-1 0 0,0 1 1 0 0,0-1-1 0 0,-1 1 1 0 0,1-1-1 0 0,0 0 1 0 0,0 1-1 0 0,0-1 1 0 0,-1 1-1 0 0,1-1 1 0 0,0 1-1 0 0,-1-1 1 0 0,1 1-1 0 0,0-1 1 0 0,-1 1-1 0 0,1-1 1 0 0,-1 1-1 0 0,1 0 1 0 0,-1-1-1 0 0,1 1 1 0 0,-1-1-1 0 0,1 1 1 0 0,-1 0 0 0 0,1 0-1 0 0,-1-1 1 0 0,1 1-1 0 0,-1 0 1 0 0,0 0-1 0 0,1 0 1 0 0,-1 0-1 0 0,1-1 1 0 0,-1 1-1 0 0,0 0 1 0 0,1 0-1 0 0,-1 0 1 0 0,1 0-1 0 0,-1 1 1 0 0,0-1-1 0 0,1 0 1 0 0,-1 0-1 0 0,1 0 1 0 0,-1 0-1 0 0,0 1 1 0 0,1-1-1 0 0,-1 0 1 0 0,1 0-1 0 0,-1 1 1 0 0,1-1-1 0 0,-1 0 1 0 0,1 1-1 0 0,-1-1 1 0 0,1 1-1 0 0,-1 0 1 0 0,-3 1 18 0 0,-1 0-17 0 0,-1 0 0 0 0,1 1 0 0 0,0 0 0 0 0,0 0-1 0 0,0 1 1 0 0,0-1 0 0 0,0 1 0 0 0,1 0 0 0 0,-1 0-1 0 0,1 1 1 0 0,-7 9 0 0 0,7-6-17 0 0,-1 0 1 0 0,1 0-1 0 0,0 1 0 0 0,0-1 1 0 0,1 1-1 0 0,0 0 0 0 0,-1 9 1 0 0,0 9-29 0 0,1 1 1 0 0,1-1-1 0 0,2 0 1 0 0,3 36-1 0 0,-1-40 32 0 0,1-1-1 0 0,1 0 1 0 0,13 40-1 0 0,-14-52 14 0 0,0-1-1 0 0,1 1 0 0 0,1-1 0 0 0,0 0 1 0 0,0 0-1 0 0,0 0 0 0 0,1-1 1 0 0,1 0-1 0 0,-1 0 0 0 0,13 11 0 0 0,-16-17 14 0 0,0 0 0 0 0,0 0-1 0 0,0 0 1 0 0,0 0-1 0 0,1-1 1 0 0,-1 1-1 0 0,0-1 1 0 0,1 0-1 0 0,-1 0 1 0 0,1 0 0 0 0,-1 0-1 0 0,1-1 1 0 0,5 1-1 0 0,-7-1 18 0 0,0 0 0 0 0,-1-1 1 0 0,1 1-1 0 0,0 0 0 0 0,0-1 0 0 0,0 1 0 0 0,0-1 0 0 0,0 1 0 0 0,-1-1 0 0 0,1 0 1 0 0,0 0-1 0 0,-1 0 0 0 0,1 0 0 0 0,0 0 0 0 0,-1 0 0 0 0,1 0 0 0 0,-1 0 0 0 0,0-1 1 0 0,1 1-1 0 0,-1-1 0 0 0,0 1 0 0 0,0-1 0 0 0,0 1 0 0 0,0-1 0 0 0,1-3 0 0 0,7-17 258 0 0,-2 0-1 0 0,-1 0 0 0 0,-1-1 0 0 0,4-35 1 0 0,0-96 138 0 0,-12 33-214 0 0,-37-232-1 0 0,25 250-317 0 0,-19-106-480 0 0,-5-40-770 0 0,21-3-423 0 0,18 267 1725 0 0,2-1 0 0 0,0 1-1 0 0,6 20 1 0 0,2 16 135 0 0,3 41 188 0 0,119 706 1694 0 0,-123-759-2122 0 0,54 215-131 0 0,-48-204-1341 0 0,3 0-1 0 0,46 90 0 0 0,-39-99-5660 0 0,-6-17-5258 0 0</inkml:trace>
  <inkml:trace contextRef="#ctx0" brushRef="#br0" timeOffset="2864.8">3327 1 12043 0 0,'0'0'1000'0'0,"25"15"-1028"0"0,-3-2 652 0 0,3 1 150 0 0,-1 0 0 0 0,-1 2 1 0 0,-1 1-1 0 0,0 1 0 0 0,22 23 0 0 0,9 18 1249 0 0,-1 2 0 0 0,52 84 0 0 0,69 148-248 0 0,-8 69-1747 0 0,-32 11-504 0 0,-17 65-27 0 0,-102-357 466 0 0,-3-1 0 0 0,-4 2-1 0 0,-5 125 1 0 0,-5-166 30 0 0,-2 0-1 0 0,-1-1 1 0 0,-2 1-1 0 0,-2-2 1 0 0,-1 1 0 0 0,-2-2-1 0 0,-2 0 1 0 0,-2 0-1 0 0,-1-2 1 0 0,-2 0-1 0 0,-1-1 1 0 0,-2-1 0 0 0,-1-1-1 0 0,-1-1 1 0 0,-40 38-1 0 0,-47 27-2290 0 0,35-40-3327 0 0,11-10-6216 0 0</inkml:trace>
</inkml:ink>
</file>

<file path=xl/ink/ink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5-10-24T23:29:49.204"/>
    </inkml:context>
    <inkml:brush xml:id="br0">
      <inkml:brushProperty name="width" value="0.025" units="cm"/>
      <inkml:brushProperty name="height" value="0.025" units="cm"/>
      <inkml:brushProperty name="color" value="#006EC0"/>
    </inkml:brush>
  </inkml:definitions>
  <inkml:trace contextRef="#ctx0" brushRef="#br0">0 2188 10418 0 0,'0'0'2705'0'0,"12"28"-338"0"0,38 88-345 0 0,-25-40-102 0 0,-17-51-1384 0 0,19 80 108 0 0,-13-35-3023 0 0,-9-51-2302 0 0,1-9-3902 0 0</inkml:trace>
  <inkml:trace contextRef="#ctx0" brushRef="#br0" timeOffset="362.62">438 1874 7834 0 0,'0'0'10793'0'0,"-17"29"-10343"0"0,-51 94 99 0 0,65-117-473 0 0,0 0 1 0 0,0 0 0 0 0,0 0 0 0 0,1 1 0 0 0,0-1 0 0 0,0 1 0 0 0,0-1 0 0 0,1 1 0 0 0,0 0 0 0 0,1 0 0 0 0,-1 0 0 0 0,2 10 0 0 0,0 1 171 0 0,-1 7 160 0 0,1 1 0 0 0,1-1-1 0 0,1 0 1 0 0,10 36 0 0 0,-11-54-344 0 0,0 1 0 0 0,1-1-1 0 0,-1 1 1 0 0,2-1 0 0 0,-1 0 0 0 0,1 0-1 0 0,0 0 1 0 0,0-1 0 0 0,1 0-1 0 0,0 1 1 0 0,0-2 0 0 0,1 1 0 0 0,0 0-1 0 0,-1-1 1 0 0,2 0 0 0 0,-1-1-1 0 0,1 1 1 0 0,10 4 0 0 0,-13-7-32 0 0,0-1 0 0 0,-1 1 1 0 0,1-1-1 0 0,0-1 0 0 0,1 1 0 0 0,-1 0 1 0 0,0-1-1 0 0,0 0 0 0 0,0 0 0 0 0,0 0 1 0 0,0 0-1 0 0,0-1 0 0 0,0 0 0 0 0,0 0 1 0 0,0 0-1 0 0,0 0 0 0 0,6-3 0 0 0,-8 3 35 0 0,1-1 0 0 0,0 1 0 0 0,-1-1 0 0 0,0 0-1 0 0,1 0 1 0 0,-1 0 0 0 0,0 0 0 0 0,0 0 0 0 0,0 0 0 0 0,0-1-1 0 0,0 1 1 0 0,0-1 0 0 0,-1 1 0 0 0,1-1 0 0 0,-1 0 0 0 0,0 0-1 0 0,0 1 1 0 0,0-1 0 0 0,0 0 0 0 0,0 0 0 0 0,-1 0 0 0 0,1 0-1 0 0,-1 0 1 0 0,0-5 0 0 0,0-13 216 0 0,1 6-255 0 0,-1 0 1 0 0,-1 0-1 0 0,0 0 1 0 0,-1 0 0 0 0,0 0-1 0 0,-5-14 1 0 0,2 14-79 0 0,-6-20-508 0 0,-2 1 0 0 0,-1 1 0 0 0,-1 0 0 0 0,-39-61 0 0 0,45 82 247 0 0,-1-3-434 0 0,-21-23 0 0 0,29 36 643 0 0,-1 0 0 0 0,1-1 1 0 0,-1 1-1 0 0,1 0 0 0 0,-1 0 0 0 0,0 0 0 0 0,0 0 0 0 0,0 1 0 0 0,0-1 0 0 0,0 1 0 0 0,0-1 0 0 0,0 1 0 0 0,0 0 0 0 0,-1 1 0 0 0,-5-2 0 0 0,8 2 63 0 0,0 1 0 0 0,0-1 1 0 0,0 0-1 0 0,0 1 0 0 0,0-1 0 0 0,0 1 1 0 0,0-1-1 0 0,0 1 0 0 0,0 0 0 0 0,0-1 1 0 0,0 1-1 0 0,0 0 0 0 0,0 0 1 0 0,0-1-1 0 0,1 1 0 0 0,-1 0 0 0 0,0 0 1 0 0,1 0-1 0 0,-1 0 0 0 0,0 0 0 0 0,1 0 1 0 0,-1 0-1 0 0,1 0 0 0 0,0 0 1 0 0,-1 0-1 0 0,1 1 0 0 0,0 1 0 0 0,-6 33-7027 0 0,6-34 5871 0 0,-1 16-9709 0 0</inkml:trace>
  <inkml:trace contextRef="#ctx0" brushRef="#br0" timeOffset="624.77">784 1394 13451 0 0,'0'0'5014'0'0,"-9"34"-3928"0"0,-30 115-51 0 0,35-131-729 0 0,0 1 0 0 0,2-1 0 0 0,0 1 0 0 0,1 34 0 0 0,2-23 65 0 0,-1 39 595 0 0,3 0 0 0 0,13 69-1 0 0,-9-97-1702 0 0,42 188 4461 0 0,-40-199-5741 0 0,23 48-1 0 0,-5-27-4307 0 0,7-3-3951 0 0,-27-36 2541 0 0</inkml:trace>
  <inkml:trace contextRef="#ctx0" brushRef="#br0" timeOffset="995.61">845 1578 19724 0 0,'0'0'772'0'0,"5"-1"-836"0"0,23-4 394 0 0,-1-1 0 0 0,0-1-1 0 0,-1-1 1 0 0,48-23-1 0 0,-48 20-96 0 0,7 1 31 0 0,-32 9-248 0 0,-1 1 0 0 0,1 0 0 0 0,0-1 1 0 0,0 1-1 0 0,-1 0 0 0 0,1 0 0 0 0,0 0 0 0 0,0 0 0 0 0,0-1 0 0 0,-1 1 0 0 0,1 0 0 0 0,0 0 0 0 0,0 1 0 0 0,0-1 0 0 0,-1 0 0 0 0,1 0 0 0 0,0 0 1 0 0,0 0-1 0 0,-1 1 0 0 0,1-1 0 0 0,0 0 0 0 0,0 1 0 0 0,-1-1 0 0 0,1 0 0 0 0,0 1 0 0 0,-1-1 0 0 0,1 1 0 0 0,-1-1 0 0 0,1 1 0 0 0,0 0 0 0 0,-1-1 0 0 0,1 1 1 0 0,0 1-1 0 0,1 18 401 0 0,0-1 0 0 0,-2 1 0 0 0,0 0 0 0 0,-1 0 0 0 0,-1 0 0 0 0,-1-1 0 0 0,-7 27 0 0 0,4-19-226 0 0,-1 0-7 0 0,1 1-1 0 0,2 0 0 0 0,-2 41 1 0 0,6-69-188 0 0,0 1 1 0 0,0 0 0 0 0,0 0 0 0 0,0-1 0 0 0,1 1 0 0 0,-1 0 0 0 0,0-1-1 0 0,0 1 1 0 0,1 0 0 0 0,-1-1 0 0 0,0 1 0 0 0,1 0 0 0 0,-1-1 0 0 0,0 1-1 0 0,1 0 1 0 0,-1-1 0 0 0,1 1 0 0 0,-1-1 0 0 0,1 1 0 0 0,0-1 0 0 0,-1 1-1 0 0,1-1 1 0 0,1 1 0 0 0,20 4-20 0 0,-17-4 28 0 0,1-2 1 0 0,-1 1 0 0 0,1 0 0 0 0,-1-1-1 0 0,0 0 1 0 0,10-3 0 0 0,-7-1-63 0 0,0 1 0 0 0,0-1 0 0 0,0 0 0 0 0,-1 0 0 0 0,1-1 0 0 0,7-8 0 0 0,12-14-2602 0 0,-3 0-5344 0 0,-14 13-4125 0 0</inkml:trace>
  <inkml:trace contextRef="#ctx0" brushRef="#br0" timeOffset="1249.4">1228 1181 12467 0 0,'0'0'5091'0'0,"-5"1"-4709"0"0,4-1-349 0 0,0 1 1 0 0,0-1-1 0 0,-1 1 1 0 0,1-1-1 0 0,0 1 1 0 0,0-1-1 0 0,0 1 1 0 0,0 0-1 0 0,0 0 1 0 0,-1 0-1 0 0,1-1 1 0 0,1 1-1 0 0,-3 2 1 0 0,2-1 24 0 0,0 0 0 0 0,1-1 1 0 0,-1 1-1 0 0,1 0 0 0 0,-1 0 0 0 0,1-1 1 0 0,0 1-1 0 0,0 0 0 0 0,0 0 0 0 0,0 0 1 0 0,0-1-1 0 0,0 1 0 0 0,0 0 1 0 0,1 2-1 0 0,30 147 3515 0 0,-27-135-3391 0 0,1-1 0 0 0,1 0-1 0 0,0 0 1 0 0,10 17 0 0 0,-13-27-173 0 0,-1-1-1 0 0,1 0 0 0 0,0-1 0 0 0,0 1 0 0 0,0 0 1 0 0,0-1-1 0 0,1 1 0 0 0,-1-1 0 0 0,1 0 0 0 0,0-1 1 0 0,0 1-1 0 0,0 0 0 0 0,1-1 0 0 0,-1 0 0 0 0,0 0 1 0 0,1 0-1 0 0,-1-1 0 0 0,9 2 0 0 0,-9-2-69 0 0,1-1 0 0 0,-1 1 0 0 0,1-1 0 0 0,0 0-1 0 0,-1-1 1 0 0,1 1 0 0 0,-1-1 0 0 0,1 0 0 0 0,-1 0 0 0 0,1 0 0 0 0,5-3 0 0 0,15-10-2300 0 0,0-6-4477 0 0,-20 16 4642 0 0,10-6-9069 0 0</inkml:trace>
  <inkml:trace contextRef="#ctx0" brushRef="#br0" timeOffset="1437.29">1386 838 2729 0 0,'0'0'5037'0'0,"-2"30"-2409"0"0,-6 94 102 0 0,7-106-1852 0 0,1-1 0 0 0,1 0 0 0 0,1 0-1 0 0,0 0 1 0 0,9 30 0 0 0,-2-11 303 0 0,42 157 3159 0 0,-40-153-3707 0 0,55 149 1496 0 0,-29-88-1740 0 0,-10-34-870 0 0,-2-3-2248 0 0,-12-21-3311 0 0,-9-23-3363 0 0</inkml:trace>
  <inkml:trace contextRef="#ctx0" brushRef="#br0" timeOffset="1672.25">1744 700 16900 0 0,'0'0'1200'0'0,"3"28"-272"0"0,9 91 235 0 0,5-10 1149 0 0,-7-45-931 0 0,62 419 2676 0 0,-64-430-4380 0 0,13 94-171 0 0,-1-53-7282 0 0,-13-66-2658 0 0</inkml:trace>
  <inkml:trace contextRef="#ctx0" brushRef="#br0" timeOffset="2034.49">1885 973 23661 0 0,'0'0'662'0'0,"19"-25"-576"0"0,62-80 20 0 0,-75 98-77 0 0,-1 0-1 0 0,1 0 1 0 0,1 0 0 0 0,0 1 0 0 0,8-7 0 0 0,-3 4 40 0 0,-8 5-39 0 0,0 0 0 0 0,0 0 0 0 0,0 1 0 0 0,1 0 0 0 0,-1 0 0 0 0,1 0 0 0 0,0 1 0 0 0,0-1 0 0 0,0 1 0 0 0,0 0 0 0 0,0 1 0 0 0,0-1 0 0 0,7 0 0 0 0,-11 2-20 0 0,-1 0-1 0 0,1 0 0 0 0,0 1 1 0 0,-1-1-1 0 0,1 0 0 0 0,-1 1 1 0 0,1-1-1 0 0,-1 0 1 0 0,1 1-1 0 0,-1-1 0 0 0,0 1 1 0 0,1-1-1 0 0,-1 1 0 0 0,1-1 1 0 0,-1 1-1 0 0,0-1 0 0 0,0 1 1 0 0,1-1-1 0 0,-1 1 0 0 0,0-1 1 0 0,0 1-1 0 0,1 0 0 0 0,-1-1 1 0 0,0 1-1 0 0,0-1 0 0 0,0 1 1 0 0,0 0-1 0 0,0-1 1 0 0,0 1-1 0 0,0 1 0 0 0,0 26 416 0 0,-1-20-273 0 0,0 8 28 0 0,-1 0-1 0 0,-1 0 0 0 0,0 0 0 0 0,-1-1 1 0 0,-10 27-1 0 0,-8 27 139 0 0,16-42-199 0 0,0-5-18 0 0,1-1 1 0 0,2 1 0 0 0,-3 35-1 0 0,6-38-72 0 0,0 1-1 0 0,2-1 0 0 0,0 1 0 0 0,1-1 0 0 0,7 25 1 0 0,-9-40-36 0 0,1 1 1 0 0,-1 0 0 0 0,1-1 0 0 0,1 1 0 0 0,-1-1 0 0 0,0 0-1 0 0,1 0 1 0 0,0 0 0 0 0,0 0 0 0 0,0 0 0 0 0,1-1 0 0 0,-1 1-1 0 0,1-1 1 0 0,0 0 0 0 0,0 0 0 0 0,0 0 0 0 0,0-1 0 0 0,0 1-1 0 0,1-1 1 0 0,-1 0 0 0 0,1 0 0 0 0,-1-1 0 0 0,1 1-1 0 0,0-1 1 0 0,0 0 0 0 0,7 0 0 0 0,-7 0-49 0 0,1-1 0 0 0,-1 0 1 0 0,1 0-1 0 0,-1-1 0 0 0,0 1 0 0 0,1-1 1 0 0,-1 0-1 0 0,0-1 0 0 0,0 1 0 0 0,0-1 1 0 0,8-4-1 0 0,15-13-3048 0 0,-1-6-6395 0 0,-17 14-2617 0 0</inkml:trace>
  <inkml:trace contextRef="#ctx0" brushRef="#br0" timeOffset="2328.59">2306 648 24037 0 0,'0'0'2981'0'0,"-8"17"-2940"0"0,-25 54 11 0 0,32-69-52 0 0,0 0-1 0 0,0 0 0 0 0,1 0 1 0 0,-1-1-1 0 0,0 1 1 0 0,1 0-1 0 0,-1 0 0 0 0,1 0 1 0 0,0 0-1 0 0,0 0 1 0 0,0 0-1 0 0,0 1 1 0 0,0-1-1 0 0,0 0 0 0 0,0 0 1 0 0,1 0-1 0 0,-1 0 1 0 0,1 0-1 0 0,-1-1 0 0 0,1 1 1 0 0,0 0-1 0 0,0 0 1 0 0,0 0-1 0 0,0 0 1 0 0,0-1-1 0 0,0 1 0 0 0,0 0 1 0 0,1-1-1 0 0,-1 1 1 0 0,1-1-1 0 0,-1 0 1 0 0,1 1-1 0 0,-1-1 0 0 0,1 0 1 0 0,0 0-1 0 0,0 0 1 0 0,-1 0-1 0 0,1 0 0 0 0,0-1 1 0 0,2 2-1 0 0,-1-1 6 0 0,6 3 17 0 0,1-1 0 0 0,-1-1 0 0 0,1 1 0 0 0,0-2 0 0 0,-1 1-1 0 0,1-1 1 0 0,0-1 0 0 0,0 0 0 0 0,14-1 0 0 0,-13 0 21 0 0,0 0 0 0 0,0 1 0 0 0,0 1 1 0 0,0 0-1 0 0,0 0 0 0 0,0 1 0 0 0,19 7 1 0 0,-24-7-34 0 0,-1 1 0 0 0,0 0 1 0 0,-1 0-1 0 0,1 0 0 0 0,0 0 1 0 0,-1 1-1 0 0,0 0 0 0 0,0 0 1 0 0,0 0-1 0 0,0 0 1 0 0,-1 1-1 0 0,0 0 0 0 0,1-1 1 0 0,-2 1-1 0 0,1 0 0 0 0,-1 1 1 0 0,1-1-1 0 0,-1 0 1 0 0,-1 1-1 0 0,1-1 0 0 0,1 11 1 0 0,-2-5-462 0 0,0-1 1 0 0,-1 1 0 0 0,0 0 0 0 0,0-1 0 0 0,-1 1 0 0 0,0-1 0 0 0,-1 1 0 0 0,-1-1 0 0 0,1 0 0 0 0,-2 1 0 0 0,-4 9-1 0 0,-4 5-5930 0 0,5-9-5440 0 0</inkml:trace>
  <inkml:trace contextRef="#ctx0" brushRef="#br0" timeOffset="2493.26">2277 948 9114 0 0,'0'0'3675'0'0,"0"-34"-1470"0"0,-1-1-1814 0 0,0-14 49 0 0,3-1 0 0 0,9-63 0 0 0,-6 82-336 0 0,2-1 0 0 0,1 1 0 0 0,1 1 0 0 0,2 0 0 0 0,25-51 1 0 0,-24 60-17 0 0,1 0 1 0 0,0 0 0 0 0,2 1 0 0 0,0 1 0 0 0,2 1-1 0 0,0 0 1 0 0,38-30 0 0 0,-6 13 650 0 0,1 3-1 0 0,63-31 1 0 0,21 1-1230 0 0,-45 24-4014 0 0,-77 33 3523 0 0,11-6-9623 0 0</inkml:trace>
  <inkml:trace contextRef="#ctx0" brushRef="#br0" timeOffset="3165.82">1254 3812 27230 0 0,'0'0'1505'0'0,"0"-28"-1486"0"0,1-92-12 0 0,-1 104-13 0 0,1 0-1 0 0,1 0 1 0 0,0 0 0 0 0,7-21 0 0 0,-1-2-13 0 0,0-2-133 0 0,-3 0 0 0 0,-1-1-1 0 0,-2 0 1 0 0,-2 0-1 0 0,-1 1 1 0 0,-11-60 0 0 0,9 82 1 0 0,2 12 70 0 0,0 1 1 0 0,-1-1 0 0 0,1 0-1 0 0,-1 1 1 0 0,0-1 0 0 0,-1 1 0 0 0,1 0-1 0 0,-6-9 1 0 0,7 14 75 0 0,1 1-1 0 0,0 0 1 0 0,-1-1-1 0 0,1 1 1 0 0,-1-1-1 0 0,1 1 1 0 0,-1 0 0 0 0,1-1-1 0 0,0 1 1 0 0,-1 0-1 0 0,1-1 1 0 0,-1 1-1 0 0,1 0 1 0 0,-1 0 0 0 0,0-1-1 0 0,1 1 1 0 0,-1 0-1 0 0,1 0 1 0 0,-1 0-1 0 0,1 0 1 0 0,-1 0 0 0 0,0 0-1 0 0,1 0 1 0 0,-1 0-1 0 0,1 0 1 0 0,-1 0-1 0 0,1 0 1 0 0,-1 0 0 0 0,0 0-1 0 0,1 1 1 0 0,-1-1-1 0 0,1 0 1 0 0,-1 0-1 0 0,1 1 1 0 0,-1-1 0 0 0,1 0-1 0 0,-1 1 1 0 0,1-1-1 0 0,0 0 1 0 0,-1 1-1 0 0,1-1 1 0 0,-1 1-1 0 0,1-1 1 0 0,-1 1 0 0 0,-16 25 180 0 0,15-21-151 0 0,-9 16 43 0 0,1 1 0 0 0,1 0 0 0 0,2 1 0 0 0,0-1 0 0 0,1 1 0 0 0,-4 36 1 0 0,4-8 280 0 0,4 102 1 0 0,2-143-301 0 0,1-1 1 0 0,0 0 0 0 0,1 1 0 0 0,0-1 0 0 0,0 0-1 0 0,1 0 1 0 0,0 0 0 0 0,1 0 0 0 0,0 0-1 0 0,0-1 1 0 0,1 1 0 0 0,8 10 0 0 0,-9-14-34 0 0,0 0 0 0 0,1-1 0 0 0,0 1 0 0 0,0-1 1 0 0,0 0-1 0 0,0 0 0 0 0,1-1 0 0 0,-1 1 0 0 0,1-1 0 0 0,0-1 1 0 0,0 1-1 0 0,0-1 0 0 0,0 0 0 0 0,0 0 0 0 0,1 0 0 0 0,-1-1 1 0 0,1 0-1 0 0,-1-1 0 0 0,8 1 0 0 0,-6-1-95 0 0,1 0 1 0 0,-1-1-1 0 0,0 0 0 0 0,0 0 1 0 0,0-1-1 0 0,-1 0 0 0 0,1 0 1 0 0,0-1-1 0 0,9-4 0 0 0,8-9-3954 0 0,0-6-5413 0 0,-18 13-2977 0 0</inkml:trace>
  <inkml:trace contextRef="#ctx0" brushRef="#br0" timeOffset="3680.29">1493 2977 24325 0 0,'0'0'1466'0'0,"13"27"-1122"0"0,40 85 8 0 0,-45-96-139 0 0,1 0-1 0 0,0-1 1 0 0,20 24 0 0 0,-9-13 26 0 0,-11-13-158 0 0,1 0 1 0 0,13 12-1 0 0,-20-22-89 0 0,0 0 1 0 0,0-1-1 0 0,0 1 0 0 0,0-1 0 0 0,0 0 1 0 0,0 0-1 0 0,0 0 0 0 0,1 0 0 0 0,-1 0 0 0 0,1-1 1 0 0,0 1-1 0 0,-1-1 0 0 0,1 0 0 0 0,5 1 1 0 0,-8-2 313 0 0,-1-2-266 0 0,0 1-1 0 0,0 0 0 0 0,0 0 0 0 0,-1 0 0 0 0,1 0 1 0 0,-1 0-1 0 0,1 0 0 0 0,-1 0 0 0 0,1 0 0 0 0,-1 0 1 0 0,1 0-1 0 0,-1 1 0 0 0,0-1 0 0 0,0-1 0 0 0,-4-6-22 0 0,1 0-1 0 0,0-1 0 0 0,-2-9 0 0 0,-4-8-111 0 0,-4-9-338 0 0,2 0 0 0 0,2-1 0 0 0,1-1-1 0 0,2 0 1 0 0,1 0 0 0 0,2 0 0 0 0,2-58 0 0 0,1 95 427 0 0,1 0 0 0 0,0-1-1 0 0,0 1 1 0 0,0 0 0 0 0,0-1 0 0 0,0 1-1 0 0,0 0 1 0 0,0 0 0 0 0,0-1 0 0 0,-1 1-1 0 0,1 0 1 0 0,0-1 0 0 0,0 1 0 0 0,0 0-1 0 0,1-1 1 0 0,-1 1 0 0 0,0 0 0 0 0,0-1-1 0 0,0 1 1 0 0,0 0 0 0 0,0-1 0 0 0,0 1-1 0 0,0 0 1 0 0,0 0 0 0 0,1-1 0 0 0,-1 1-1 0 0,0 0 1 0 0,0-1 0 0 0,0 1 0 0 0,1 0-1 0 0,-1 0 1 0 0,0 0 0 0 0,0-1 0 0 0,1 1-1 0 0,-1 0 1 0 0,0 0 0 0 0,1 0 0 0 0,-1 0-1 0 0,0-1 1 0 0,0 1 0 0 0,1 0 0 0 0,-1 0-1 0 0,0 0 1 0 0,1 0 0 0 0,-1 0 0 0 0,0 0-1 0 0,1 0 1 0 0,-1 0 0 0 0,0 0 0 0 0,1 0-1 0 0,-1 0 1 0 0,0 0 0 0 0,1 0 0 0 0,-1 0 0 0 0,0 0-1 0 0,0 0 1 0 0,1 0 0 0 0,-1 1 0 0 0,0-1-1 0 0,1 0 1 0 0,-1 0 0 0 0,0 0 0 0 0,0 0-1 0 0,1 1 1 0 0,-1-1 0 0 0,1 0 0 0 0,19 20 38 0 0,-15-14 74 0 0,9 10 580 0 0,26 36 1 0 0,6 9 228 0 0,-27-39-533 0 0,25 40 0 0 0,-34-47-252 0 0,-1-4 10 0 0,-9-19-84 0 0,0-6-16 0 0,-1-9-148 0 0,-1-1 0 0 0,-1 1 0 0 0,-1 0 0 0 0,-8-30 0 0 0,1 11-376 0 0,-8-65 1 0 0,19 106 466 0 0,0 0-1 0 0,0 0 1 0 0,-1 0 0 0 0,1 1 0 0 0,0-1-1 0 0,0 0 1 0 0,0 0 0 0 0,0 0-1 0 0,0 0 1 0 0,1 0 0 0 0,-1 0 0 0 0,0 1-1 0 0,0-1 1 0 0,0 0 0 0 0,1 0-1 0 0,-1 0 1 0 0,1 1 0 0 0,-1-1 0 0 0,0 0-1 0 0,2-1 1 0 0,-2 2 8 0 0,1 0 1 0 0,-1 0-1 0 0,1-1 0 0 0,0 1 1 0 0,-1 0-1 0 0,1 0 1 0 0,-1 0-1 0 0,1 0 0 0 0,0 0 1 0 0,-1 0-1 0 0,1 0 0 0 0,-1 0 1 0 0,1 0-1 0 0,0 0 1 0 0,-1 1-1 0 0,1-1 0 0 0,-1 0 1 0 0,1 0-1 0 0,-1 1 0 0 0,1-1 1 0 0,-1 0-1 0 0,2 1 1 0 0,4 4 6 0 0,1-1 0 0 0,0 2 0 0 0,7 7 0 0 0,-10-9 40 0 0,84 69 172 0 0,-32-30-1940 0 0,-19-18-5839 0 0,-35-24 6894 0 0,18 14-11596 0 0</inkml:trace>
  <inkml:trace contextRef="#ctx0" brushRef="#br0" timeOffset="4349.86">2311 2713 22133 0 0,'0'0'3048'0'0,"-28"-22"-3205"0"0,-86-64-72 0 0,102 77 199 0 0,-25-18-190 0 0,18 22 108 0 0,15 4 124 0 0,3 1 7 0 0,0 0-1 0 0,0 0 1 0 0,0 1 0 0 0,0-1-1 0 0,0 0 1 0 0,0 0-1 0 0,0 0 1 0 0,0 1 0 0 0,0-1-1 0 0,0 1 1 0 0,0-1-1 0 0,1 0 1 0 0,-1 1 0 0 0,0 0-1 0 0,0-1 1 0 0,0 1-1 0 0,1-1 1 0 0,-1 1 0 0 0,0 0-1 0 0,1 0 1 0 0,-1-1-1 0 0,0 1 1 0 0,1 0 0 0 0,-1 0-1 0 0,1 0 1 0 0,-1 0-1 0 0,0 1 1 0 0,-7 26 300 0 0,6-13-265 0 0,1 0 0 0 0,0 0 0 0 0,0 0 0 0 0,2 0 0 0 0,0 0 0 0 0,1 0 0 0 0,0 0 0 0 0,1 0 0 0 0,1 0-1 0 0,0-1 1 0 0,7 17 0 0 0,2-4 100 0 0,0-1-1 0 0,2 0 1 0 0,21 28 0 0 0,-27-43-166 0 0,0 0 0 0 0,0-1 1 0 0,1-1-1 0 0,1 0 1 0 0,-1 0-1 0 0,1-1 1 0 0,1 0-1 0 0,0-1 1 0 0,14 7-1 0 0,12-2-119 0 0,-36-11 149 0 0,0-1-1 0 0,0 0 1 0 0,0 1-1 0 0,1-1 0 0 0,-1 0 1 0 0,0 0-1 0 0,0 0 1 0 0,1 0-1 0 0,-1 0 1 0 0,0-1-1 0 0,0 1 0 0 0,0-1 1 0 0,1 1-1 0 0,2-3 1 0 0,-4 2 23 0 0,0 0-1 0 0,0 0 1 0 0,0 0 0 0 0,0-1 0 0 0,0 1 0 0 0,0 0 0 0 0,-1-1 0 0 0,1 1 0 0 0,-1-1-1 0 0,1 1 1 0 0,-1 0 0 0 0,1-1 0 0 0,-1 1 0 0 0,0-1 0 0 0,0 0 0 0 0,1-1 0 0 0,-2-29 345 0 0,1 20-218 0 0,-2-23-120 0 0,-1-1-1 0 0,-2 1 0 0 0,-2 0 0 0 0,-1 0 1 0 0,-1 1-1 0 0,-15-34 0 0 0,14 35-345 0 0,8 24 139 0 0,-1-1-1 0 0,0 1 1 0 0,0 0 0 0 0,-9-16-1 0 0,8 20 97 0 0,4 5 59 0 0,0 0 1 0 0,0 0 0 0 0,0 0-1 0 0,0 0 1 0 0,0 0 0 0 0,0 0 0 0 0,0 0-1 0 0,0 0 1 0 0,0 0 0 0 0,0 0-1 0 0,0 0 1 0 0,0 0 0 0 0,0 0-1 0 0,0 0 1 0 0,0 0 0 0 0,0 0-1 0 0,0 0 1 0 0,0 0 0 0 0,0 0 0 0 0,-1 0-1 0 0,1 0 1 0 0,0 0 0 0 0,1 8-17 0 0,0 2 86 0 0,0 0 0 0 0,0 0 0 0 0,1 0 0 0 0,1 0 0 0 0,0 0 0 0 0,0-1 0 0 0,1 1 0 0 0,0-1 0 0 0,7 11 0 0 0,-3-6 29 0 0,1 0 0 0 0,0 0 0 0 0,1-1 0 0 0,1-1 0 0 0,14 13 0 0 0,-19-19-80 0 0,1 0 1 0 0,0-1-1 0 0,0 0 0 0 0,0 0 0 0 0,1-1 1 0 0,-1 0-1 0 0,1 0 0 0 0,0-1 1 0 0,0 0-1 0 0,1 0 0 0 0,-1-1 1 0 0,1 0-1 0 0,-1-1 0 0 0,1 1 0 0 0,0-2 1 0 0,11 1-1 0 0,-19-2 1 0 0,0 1-1 0 0,0 0 1 0 0,0 0 0 0 0,0 0-1 0 0,-1 0 1 0 0,1-1 0 0 0,0 1-1 0 0,0 0 1 0 0,0-1-1 0 0,0 1 1 0 0,-1-1 0 0 0,1 1-1 0 0,0-1 1 0 0,0 1 0 0 0,-1-1-1 0 0,1 1 1 0 0,0-1 0 0 0,-1 0-1 0 0,1 1 1 0 0,-1-1-1 0 0,1 0 1 0 0,-1 0 0 0 0,1 1-1 0 0,-1-1 1 0 0,1 0 0 0 0,-1 0-1 0 0,0 0 1 0 0,1 0 0 0 0,-1 0-1 0 0,0 0 1 0 0,0 1-1 0 0,0-3 1 0 0,1-34 511 0 0,-1 25-418 0 0,-1 2-103 0 0,-1 0-1 0 0,0 0 0 0 0,0 0 1 0 0,-1 0-1 0 0,0 0 0 0 0,-1 1 0 0 0,-10-18 1 0 0,-1-9-173 0 0,3 16-5 0 0,10 18 125 0 0,1-1-1 0 0,-1 1 1 0 0,1-1-1 0 0,-1 0 1 0 0,1 1-1 0 0,0-1 1 0 0,0 0-1 0 0,0 0 1 0 0,0 0-1 0 0,0-4 0 0 0,1 6-34 0 0,4 17-305 0 0,11 6 364 0 0,1 0-1 0 0,0-1 1 0 0,22 21-1 0 0,-26-30 8 0 0,1-1-1 0 0,0 0 1 0 0,0-1-1 0 0,1 0 1 0 0,0-1-1 0 0,19 9 1 0 0,-22-14 15 0 0,-1-1 1 0 0,1 0-1 0 0,-1 0 1 0 0,1-1 0 0 0,0 0-1 0 0,0-1 1 0 0,0 0-1 0 0,0-1 1 0 0,22-2 0 0 0,-31 2 15 0 0,1-1 0 0 0,-1 1 0 0 0,0-1 0 0 0,1 0 1 0 0,-1 0-1 0 0,0 0 0 0 0,1 0 0 0 0,-1 0 0 0 0,0 0 0 0 0,0-1 1 0 0,0 1-1 0 0,0-1 0 0 0,0 1 0 0 0,0-1 0 0 0,0 0 0 0 0,-1 1 1 0 0,1-1-1 0 0,-1 0 0 0 0,1 0 0 0 0,-1-1 0 0 0,0 1 0 0 0,0 0 1 0 0,0 0-1 0 0,0-1 0 0 0,0 1 0 0 0,1-5 0 0 0,0-5 71 0 0,0 0 0 0 0,-1 0 0 0 0,0 0 0 0 0,-1-17 0 0 0,0 14-48 0 0,-1-8 11 0 0,-1 1-1 0 0,-1 0 0 0 0,-1-1 0 0 0,-1 1 1 0 0,-1 1-1 0 0,-10-24 0 0 0,-61-123-267 0 0,-53-74-1679 0 0,-5 1-4448 0 0,-81-146-13987 0 0,194 346 19885 0 0</inkml:trace>
  <inkml:trace contextRef="#ctx0" brushRef="#br0" timeOffset="5069.83">2303 1722 2409 0 0,'10'29'4930'0'0,"-10"-29"-4919"0"0,85 233 9513 0 0,-49-147-5369 0 0,76 128-1 0 0,-92-182-3730 0 0,1 0 0 0 0,2-2 0 0 0,1 0 0 0 0,2-1 0 0 0,0-2 0 0 0,52 41 0 0 0,-63-58-391 0 0,0 0-1 0 0,1-1 1 0 0,1-1-1 0 0,0 0 0 0 0,0-1 1 0 0,0-1-1 0 0,1-1 1 0 0,-1 0-1 0 0,1-2 0 0 0,1 0 1 0 0,-1 0-1 0 0,27-1 1 0 0,-30-2-14 0 0,-1-1 0 0 0,1 0 1 0 0,0-1-1 0 0,-1-1 0 0 0,1 0 1 0 0,-1-1-1 0 0,0 0 0 0 0,0-1 1 0 0,0-1-1 0 0,-1 0 0 0 0,0-1 1 0 0,0 0-1 0 0,-1-1 0 0 0,0-1 1 0 0,21-18-1 0 0,-26 20 37 0 0,-1 0-1 0 0,0-1 0 0 0,0 0 1 0 0,-1 0-1 0 0,0 0 0 0 0,0-1 1 0 0,-1 0-1 0 0,6-18 0 0 0,-5 12 20 0 0,-2 0-1 0 0,0-1 0 0 0,-1 1 0 0 0,0-1 1 0 0,-1-16-1 0 0,-3-2 19 0 0,-1 0 0 0 0,-1 0 0 0 0,-2 0 1 0 0,-14-46-1 0 0,9 45-209 0 0,-1-1 0 0 0,-2 2 1 0 0,-1 0-1 0 0,-30-50 0 0 0,42 81 93 0 0,1 0 0 0 0,0 0 0 0 0,-1 0 0 0 0,1 0 0 0 0,-1 0 0 0 0,0 1 0 0 0,0-1 0 0 0,-5-2 1 0 0,8 5 21 0 0,0-1 1 0 0,-1 1 0 0 0,1 0 0 0 0,-1 0 0 0 0,1 0 0 0 0,-1 0 0 0 0,1-1-1 0 0,0 1 1 0 0,-1 0 0 0 0,1 0 0 0 0,-1 0 0 0 0,1 0 0 0 0,-1 0 0 0 0,1 0 0 0 0,-1 0-1 0 0,1 0 1 0 0,-1 0 0 0 0,1 0 0 0 0,0 1 0 0 0,-1-1 0 0 0,1 0 0 0 0,-1 0-1 0 0,1 0 1 0 0,-1 0 0 0 0,1 1 0 0 0,0-1 0 0 0,-1 1 0 0 0,0 0 3 0 0,0 0-1 0 0,1 0 1 0 0,-1 0 0 0 0,1 0 0 0 0,-1 1 0 0 0,1-1-1 0 0,-1 0 1 0 0,1 1 0 0 0,0-1 0 0 0,-1 0 0 0 0,1 1 0 0 0,0-1-1 0 0,0 0 1 0 0,0 3 0 0 0,0 6 4 0 0,0 0-1 0 0,0 1 1 0 0,1-1 0 0 0,0 0-1 0 0,1 0 1 0 0,0 0 0 0 0,0 0-1 0 0,1 0 1 0 0,0-1 0 0 0,7 13-1 0 0,2 0 4 0 0,1-2 0 0 0,1 1 0 0 0,1-2 0 0 0,0 0 0 0 0,25 23 0 0 0,-32-35-40 0 0,0-1-1 0 0,0-1 1 0 0,0 0-1 0 0,1 0 1 0 0,0 0-1 0 0,-1-1 1 0 0,13 4 0 0 0,-15-6-16 0 0,0 0 1 0 0,0 0-1 0 0,0-1 1 0 0,0 0 0 0 0,0 0-1 0 0,1-1 1 0 0,-1 1 0 0 0,0-1-1 0 0,0-1 1 0 0,1 1 0 0 0,-1-1-1 0 0,7-2 1 0 0,-9 2 40 0 0,0-1 1 0 0,-1 0-1 0 0,1 0 0 0 0,-1 0 1 0 0,1-1-1 0 0,-1 1 1 0 0,0-1-1 0 0,0 0 0 0 0,0 0 1 0 0,3-4-1 0 0,26-38-48 0 0,-19 25-5 0 0,-1-1-1 0 0,0 1 0 0 0,-2-2 0 0 0,-1 1 0 0 0,13-44-1 0 0,-21 61 85 0 0,0-1 0 0 0,0 1 0 0 0,0-1 0 0 0,-1 1 0 0 0,1-1-1 0 0,-1 0 1 0 0,0 1 0 0 0,-1-1 0 0 0,1 1 0 0 0,-1-1 0 0 0,0 1-1 0 0,0-1 1 0 0,-3-5 0 0 0,1 3 4 0 0,0 0-1 0 0,0 1 1 0 0,-1-1-1 0 0,0 1 1 0 0,-1 0-1 0 0,1 0 1 0 0,-10-9-1 0 0,5 7-10 0 0,-1-1 1 0 0,0 1-1 0 0,0 1 0 0 0,-1 0 0 0 0,0 1 0 0 0,0 0 0 0 0,0 0 1 0 0,-1 1-1 0 0,-16-5 0 0 0,25 9-12 0 0,0 0 1 0 0,0 1 0 0 0,-1-1-1 0 0,1 1 1 0 0,0-1-1 0 0,0 1 1 0 0,-1 0 0 0 0,1 0-1 0 0,0 0 1 0 0,-1 1-1 0 0,1-1 1 0 0,0 1 0 0 0,0 0-1 0 0,-1 0 1 0 0,1 0-1 0 0,0 0 1 0 0,0 0 0 0 0,0 1-1 0 0,0-1 1 0 0,0 1-1 0 0,1 0 1 0 0,-4 2 0 0 0,3 0-18 0 0,0 0 1 0 0,0-1 0 0 0,0 1 0 0 0,1 0 0 0 0,0 0 0 0 0,0 0 0 0 0,0 1 0 0 0,0-1 0 0 0,1 0 0 0 0,-1 1 0 0 0,1 0 0 0 0,0-1 0 0 0,1 1 0 0 0,-1-1 0 0 0,1 8 0 0 0,0 14-26 0 0,1-1 0 0 0,1 0 0 0 0,2 1 0 0 0,0-1 0 0 0,2-1 0 0 0,9 25 0 0 0,0-6 0 0 0,2-2 0 0 0,34 62-1 0 0,-43-88 44 0 0,1-1-1 0 0,1 0 1 0 0,0 0-1 0 0,1-1 0 0 0,1-1 1 0 0,19 17-1 0 0,-27-25 17 0 0,1 0 0 0 0,-1-1-1 0 0,1 1 1 0 0,0-1 0 0 0,1 0 0 0 0,-1-1 0 0 0,0 1 0 0 0,1-1-1 0 0,-1 0 1 0 0,1-1 0 0 0,0 1 0 0 0,0-1 0 0 0,-1 0-1 0 0,1 0 1 0 0,0-1 0 0 0,0 0 0 0 0,0 0 0 0 0,0 0 0 0 0,0-1-1 0 0,0 0 1 0 0,0 0 0 0 0,6-2 0 0 0,-8 1 16 0 0,0 0 1 0 0,0 0 0 0 0,0-1-1 0 0,0 1 1 0 0,0-1-1 0 0,-1 0 1 0 0,1 0-1 0 0,-1 0 1 0 0,0 0 0 0 0,0-1-1 0 0,0 1 1 0 0,0-1-1 0 0,-1 0 1 0 0,1 1-1 0 0,-1-1 1 0 0,0 0-1 0 0,0-1 1 0 0,0 1 0 0 0,-1 0-1 0 0,0 0 1 0 0,1-6-1 0 0,2-9 71 0 0,-1-1-1 0 0,0 0 0 0 0,-2-29 0 0 0,0 37-96 0 0,-2-47 60 0 0,-2 0-1 0 0,-15-83 0 0 0,-38-115-390 0 0,50 230 247 0 0,-167-572-2817 0 0,-32 12-1718 0 0,115 334 1471 0 0,87 243 2954 0 0,-10-23-230 0 0,13 31 401 0 0,0 1 1 0 0,-1 0 0 0 0,1 0-1 0 0,-1 0 1 0 0,1 0-1 0 0,-1 0 1 0 0,0 0 0 0 0,1 0-1 0 0,-1 0 1 0 0,0 0 0 0 0,1 0-1 0 0,-1 1 1 0 0,0-1-1 0 0,0 0 1 0 0,0 0 0 0 0,0 1-1 0 0,0-1 1 0 0,0 1-1 0 0,-1-2 1 0 0,0 8-39 0 0,4 59 688 0 0,4 0 0 0 0,21 104 0 0 0,50 127 2317 0 0,19 6-981 0 0,190 409 0 0 0,-183-510-4004 0 0,-31-73-7440 0 0,-69-123 8820 0 0,28 50-12064 0 0</inkml:trace>
  <inkml:trace contextRef="#ctx0" brushRef="#br0" timeOffset="5254.81">2164 1737 10586 0 0,'0'0'-520'0'0,"32"152"1192"0"0,6-140 184 0 0,-13-4-2576 0 0,-7-5-7866 0 0</inkml:trace>
</inkm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B71BBA77-0585-4B1A-8CBD-5B25D345656E}" name="Table2" displayName="Table2" ref="G26:H44" totalsRowShown="0" headerRowDxfId="83" tableBorderDxfId="82">
  <autoFilter ref="G26:H44" xr:uid="{B71BBA77-0585-4B1A-8CBD-5B25D345656E}"/>
  <sortState xmlns:xlrd2="http://schemas.microsoft.com/office/spreadsheetml/2017/richdata2" ref="G27:H44">
    <sortCondition descending="1" ref="H26:H44"/>
  </sortState>
  <tableColumns count="2">
    <tableColumn id="1" xr3:uid="{323E23CF-4F9D-4F86-AF09-BF70B6AB6124}" name="District" dataDxfId="81" dataCellStyle="Hyperlink"/>
    <tableColumn id="2" xr3:uid="{04A91F11-9406-47B5-B3AD-C2F9A036B36A}" name="Daily Rate Low" dataDxfId="80" dataCellStyle="Hyperlink"/>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38960BB1-0864-4286-B10B-61525E02C6B7}" name="Table11" displayName="Table11" ref="B26:C44" totalsRowShown="0" headerRowDxfId="33" dataDxfId="31" headerRowBorderDxfId="32" tableBorderDxfId="30">
  <autoFilter ref="B26:C44" xr:uid="{38960BB1-0864-4286-B10B-61525E02C6B7}"/>
  <sortState xmlns:xlrd2="http://schemas.microsoft.com/office/spreadsheetml/2017/richdata2" ref="B27:C44">
    <sortCondition descending="1" ref="C26:C44"/>
  </sortState>
  <tableColumns count="2">
    <tableColumn id="1" xr3:uid="{564A8F6D-0196-4602-B0C8-63ED0B476A7D}" name="District" dataDxfId="29" dataCellStyle="Hyperlink"/>
    <tableColumn id="2" xr3:uid="{166FDC0B-127A-48BB-8913-B03593FB6A24}" name="High Salary (MA+)" dataDxfId="28" dataCellStyle="Currency"/>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CDA9B9E2-12A5-4424-8A64-67BBF0A88572}" name="Table12" displayName="Table12" ref="B21:C39" totalsRowShown="0" headerRowDxfId="27" dataDxfId="25" headerRowBorderDxfId="26" tableBorderDxfId="24">
  <autoFilter ref="B21:C39" xr:uid="{CDA9B9E2-12A5-4424-8A64-67BBF0A88572}"/>
  <sortState xmlns:xlrd2="http://schemas.microsoft.com/office/spreadsheetml/2017/richdata2" ref="B22:C39">
    <sortCondition descending="1" ref="C21:C39"/>
  </sortState>
  <tableColumns count="2">
    <tableColumn id="1" xr3:uid="{DEAE61AD-867C-4684-BD36-89D4E62612A2}" name="District" dataDxfId="23" dataCellStyle="Hyperlink"/>
    <tableColumn id="2" xr3:uid="{1FBD05D3-6ABD-4104-B5E5-642D8697CCD5}" name="High Salary (Doctorate)" dataDxfId="22" dataCellStyle="Currency"/>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3D4E30E1-B529-4D0D-9066-D56EABB83086}" name="Table13" displayName="Table13" ref="B23:E41" totalsRowShown="0" headerRowDxfId="21" tableBorderDxfId="20">
  <autoFilter ref="B23:E41" xr:uid="{3D4E30E1-B529-4D0D-9066-D56EABB83086}"/>
  <sortState xmlns:xlrd2="http://schemas.microsoft.com/office/spreadsheetml/2017/richdata2" ref="B24:E41">
    <sortCondition descending="1" ref="E23:E41"/>
  </sortState>
  <tableColumns count="4">
    <tableColumn id="1" xr3:uid="{62A735A0-F0C8-443F-80D3-082225E91176}" name="District" dataDxfId="19" dataCellStyle="Hyperlink"/>
    <tableColumn id="2" xr3:uid="{7330F44A-363B-4D45-8403-77790FDD815A}" name="High Salary (MA+)" dataDxfId="18" dataCellStyle="Currency"/>
    <tableColumn id="3" xr3:uid="{738435B7-408C-4494-9CC8-9A2B3814FD58}" name="Contract Days" dataDxfId="17" dataCellStyle="Hyperlink"/>
    <tableColumn id="4" xr3:uid="{9F927557-0DD5-42AC-80C6-0F5B336775C9}" name="Daily Rate" dataDxfId="16" dataCellStyle="Hyperlink">
      <calculatedColumnFormula>C24/D24</calculatedColumnFormula>
    </tableColumn>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2352583A-2E99-4FBA-931C-06520004D32E}" name="Table14" displayName="Table14" ref="B36:F54" totalsRowShown="0" headerRowDxfId="15" headerRowBorderDxfId="14" tableBorderDxfId="13">
  <autoFilter ref="B36:F54" xr:uid="{2352583A-2E99-4FBA-931C-06520004D32E}"/>
  <sortState xmlns:xlrd2="http://schemas.microsoft.com/office/spreadsheetml/2017/richdata2" ref="B37:F54">
    <sortCondition descending="1" ref="D36:D54"/>
  </sortState>
  <tableColumns count="5">
    <tableColumn id="1" xr3:uid="{58AB1C2E-086C-4F08-A952-68B072EEBF56}" name="District" dataDxfId="12" dataCellStyle="Hyperlink"/>
    <tableColumn id="2" xr3:uid="{C3E2961C-4452-4772-B504-50F6DCCD978D}" name="High Salary (MA+)" dataDxfId="11" dataCellStyle="Currency"/>
    <tableColumn id="3" xr3:uid="{76E88CFD-855D-41B9-A095-156DD8BABA1C}" name="Equivalent Standard of Living in Fresno"/>
    <tableColumn id="4" xr3:uid="{7DE10A15-98F2-462E-9E5E-90BBE1028E8C}" name="Difference (currently)" dataDxfId="10"/>
    <tableColumn id="5" xr3:uid="{53E882EE-6781-4B0C-BB7D-6CDEA55F3537}" name="Difference (+2.3%)" dataDxfId="9"/>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DF35ECEF-360B-4DC2-8859-F5C9E1C0AABA}" name="Table5" displayName="Table5" ref="B37:I55" totalsRowShown="0" tableBorderDxfId="8">
  <autoFilter ref="B37:I55" xr:uid="{DF35ECEF-360B-4DC2-8859-F5C9E1C0AABA}"/>
  <sortState xmlns:xlrd2="http://schemas.microsoft.com/office/spreadsheetml/2017/richdata2" ref="B38:I55">
    <sortCondition descending="1" ref="F37:F55"/>
  </sortState>
  <tableColumns count="8">
    <tableColumn id="1" xr3:uid="{9A3636E4-D0FE-4994-BA39-E2650133BB3C}" name="District" dataDxfId="7" dataCellStyle="Hyperlink"/>
    <tableColumn id="2" xr3:uid="{5715FDC7-EC98-454E-9D5A-559D7C1CE836}" name="High Salary (MA+)" dataDxfId="6" dataCellStyle="Currency"/>
    <tableColumn id="3" xr3:uid="{E630A14E-F968-429D-B63E-DBAF3A83E347}" name="State Center CCD High Salary (MA+)" dataDxfId="5" dataCellStyle="Currency"/>
    <tableColumn id="4" xr3:uid="{DAD00130-BAEF-4FA1-B8A1-1F157C579479}" name="State Center CCD High Salary (MA+) + 3.3%" dataDxfId="4" dataCellStyle="Currency"/>
    <tableColumn id="5" xr3:uid="{A86E5C9D-1410-4DD1-8F05-66212ED2DB85}" name="Equivalent Standard of Living in Comparative District" dataDxfId="3" dataCellStyle="Hyperlink"/>
    <tableColumn id="6" xr3:uid="{F4010BCE-A0B6-426E-AEB2-F88C0D418CC2}" name="Equivalent Standard of Living in Comparative District (+ 3.3%)" dataDxfId="2" dataCellStyle="Hyperlink"/>
    <tableColumn id="7" xr3:uid="{449FF029-C2AF-4421-BCFB-74C44A8A930A}" name="Difference (currently)" dataDxfId="1">
      <calculatedColumnFormula>C38-F38</calculatedColumnFormula>
    </tableColumn>
    <tableColumn id="8" xr3:uid="{ECB92448-CE4D-43BA-9F74-27DF3343D4F4}" name="Difference (currently) +3.3%" dataDxfId="0">
      <calculatedColumnFormula>C38-G38</calculatedColumnFormula>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2CACE45D-4A4D-4A11-8C19-BFEC8A95C3E3}" name="Table3" displayName="Table3" ref="K26:L44" totalsRowShown="0" headerRowDxfId="79" tableBorderDxfId="78">
  <autoFilter ref="K26:L44" xr:uid="{2CACE45D-4A4D-4A11-8C19-BFEC8A95C3E3}"/>
  <sortState xmlns:xlrd2="http://schemas.microsoft.com/office/spreadsheetml/2017/richdata2" ref="K27:L44">
    <sortCondition descending="1" ref="L26:L44"/>
  </sortState>
  <tableColumns count="2">
    <tableColumn id="1" xr3:uid="{C674217B-DF2D-4E45-BA27-DFEB1DC02BB7}" name="District" dataDxfId="77" dataCellStyle="Hyperlink"/>
    <tableColumn id="2" xr3:uid="{7DC64D80-E0F9-4623-92DF-14813BC9C710}" name="Daily Rate High Doctorate" dataDxfId="76" dataCellStyle="Hyperlink"/>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7D4ECB4A-C006-483B-A37D-778FA2A7FD04}" name="Table4" displayName="Table4" ref="B26:C44" totalsRowShown="0" headerRowDxfId="75" tableBorderDxfId="74">
  <autoFilter ref="B26:C44" xr:uid="{7D4ECB4A-C006-483B-A37D-778FA2A7FD04}"/>
  <tableColumns count="2">
    <tableColumn id="1" xr3:uid="{48D05EF5-A3C5-45F3-9FD7-6738D6BA1CF2}" name="District" dataDxfId="73" dataCellStyle="Hyperlink"/>
    <tableColumn id="2" xr3:uid="{A128CBB4-C268-4DFF-AE94-A4B30992D7A1}" name="Contract Days" dataDxfId="72" dataCellStyle="Hyperlink"/>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441D094-5309-47C1-8E43-5F23B3FF7F65}" name="Table1" displayName="Table1" ref="B2:T20" totalsRowShown="0" headerRowDxfId="71" tableBorderDxfId="70">
  <autoFilter ref="B2:T20" xr:uid="{2441D094-5309-47C1-8E43-5F23B3FF7F65}"/>
  <sortState xmlns:xlrd2="http://schemas.microsoft.com/office/spreadsheetml/2017/richdata2" ref="B3:T20">
    <sortCondition descending="1" ref="M2:M20"/>
  </sortState>
  <tableColumns count="19">
    <tableColumn id="1" xr3:uid="{E11902E2-11BF-48D3-AC22-E061A55EDAED}" name="District" dataDxfId="69" dataCellStyle="Hyperlink"/>
    <tableColumn id="2" xr3:uid="{74B1EF2C-79C2-4F5D-B445-56FF6BDF3994}" name="Year" dataDxfId="68" dataCellStyle="Hyperlink"/>
    <tableColumn id="3" xr3:uid="{9BA9F8C4-E8FA-4F8D-94B7-EB49AB063615}" name="Distance"/>
    <tableColumn id="4" xr3:uid="{3EEA9B87-CB4B-4AC9-970E-31822C031C70}" name="Total FTES (2023-24)"/>
    <tableColumn id="5" xr3:uid="{AD7D2A86-E83A-4BC7-86C2-84427EDB0295}" name="COLI" dataDxfId="67" dataCellStyle="Hyperlink"/>
    <tableColumn id="6" xr3:uid="{9D32DB5A-B6CA-486F-B1B4-DAC983AF6BE8}" name="Low Salary" dataDxfId="66" dataCellStyle="Currency"/>
    <tableColumn id="7" xr3:uid="{26318C2E-90AC-4A41-8717-930EC4BDB532}" name="Low Salary _x000a_(MA Only)" dataDxfId="65" dataCellStyle="Currency"/>
    <tableColumn id="8" xr3:uid="{3A7177EF-F64B-4DD5-9344-71FA1B223FF9}" name="MA+5 Years "/>
    <tableColumn id="9" xr3:uid="{64124517-219C-4D8A-AA15-BE81A1696C6E}" name="MA+30 Units+10 Years"/>
    <tableColumn id="10" xr3:uid="{BC4BC7CC-6012-4D92-8637-870A73E12EA9}" name="MA+60 Units+20 Years "/>
    <tableColumn id="11" xr3:uid="{18712EB6-2269-4BBB-89B8-3497624BD880}" name="High Salary (MA+)"/>
    <tableColumn id="12" xr3:uid="{B0D91E40-C751-441E-AC0F-7FBAC88EEE15}" name="High Salary (Doctorate)"/>
    <tableColumn id="13" xr3:uid="{38A19FDA-D94C-44F8-AF88-02B6541B475C}" name="Equivalent Standard of Living in Fresno _x000a_(with High Salary MA+)" dataDxfId="64" dataCellStyle="Hyperlink"/>
    <tableColumn id="14" xr3:uid="{7D770922-69E1-4BB4-9D3E-129D998B8BC0}" name="&lt;- Difference (Currently) ">
      <calculatedColumnFormula>N3-147346</calculatedColumnFormula>
    </tableColumn>
    <tableColumn id="15" xr3:uid="{FF47CC85-D2D9-4FBF-90D8-D745FC0EBEA0}" name="&lt;-&lt;- Difference (+2.3%)" dataDxfId="63">
      <calculatedColumnFormula>N3-155995.4</calculatedColumnFormula>
    </tableColumn>
    <tableColumn id="16" xr3:uid="{E0CA7E2C-16B0-4263-8DA6-AF2A061C0AC0}" name="SCCCD's Equivalent Standard of Living in Comparative District (with High Salary MA+)"/>
    <tableColumn id="17" xr3:uid="{98B2D6EF-D9CC-4965-952D-43C5AC01B2D2}" name="SCCCD's Equivalent Standard of Living in Comparative District (with High Salary MA+) + 3.3%"/>
    <tableColumn id="18" xr3:uid="{84478E8C-93DC-4099-9D89-D6284F0CC43E}" name="&lt;- Difference (currently)" dataDxfId="62">
      <calculatedColumnFormula>Q3-L3</calculatedColumnFormula>
    </tableColumn>
    <tableColumn id="19" xr3:uid="{2B338AEB-B035-489F-B159-233795F45284}" name="&lt;-&lt;- Difference (+3.3%)   ">
      <calculatedColumnFormula>R3-L3</calculatedColumnFormula>
    </tableColumn>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88DB3CEA-4479-446E-BA80-4C2185FC2ADE}" name="Table6" displayName="Table6" ref="B24:C42" totalsRowShown="0" headerRowDxfId="61" headerRowBorderDxfId="60" tableBorderDxfId="59">
  <autoFilter ref="B24:C42" xr:uid="{88DB3CEA-4479-446E-BA80-4C2185FC2ADE}"/>
  <sortState xmlns:xlrd2="http://schemas.microsoft.com/office/spreadsheetml/2017/richdata2" ref="B25:C42">
    <sortCondition descending="1" ref="C24:C42"/>
  </sortState>
  <tableColumns count="2">
    <tableColumn id="1" xr3:uid="{4DE15F44-ADCA-4442-BFB4-F41765D89C22}" name="District" dataDxfId="58" dataCellStyle="Hyperlink"/>
    <tableColumn id="2" xr3:uid="{19185E69-03D8-46FA-B40B-30751DD1D6BF}" name="Low Salary" dataDxfId="57" dataCellStyle="Currency"/>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30ED8722-AB68-4ECA-A772-42ABBE76CF7E}" name="Table7" displayName="Table7" ref="B28:C46" totalsRowShown="0" headerRowDxfId="56" headerRowBorderDxfId="55" tableBorderDxfId="54">
  <autoFilter ref="B28:C46" xr:uid="{30ED8722-AB68-4ECA-A772-42ABBE76CF7E}"/>
  <sortState xmlns:xlrd2="http://schemas.microsoft.com/office/spreadsheetml/2017/richdata2" ref="B29:C46">
    <sortCondition descending="1" ref="C28:C46"/>
  </sortState>
  <tableColumns count="2">
    <tableColumn id="1" xr3:uid="{50379B25-06B1-4DA6-9D93-74D1B3DEBDA7}" name="DISTRICT" dataDxfId="53" dataCellStyle="Hyperlink"/>
    <tableColumn id="2" xr3:uid="{B93ED08E-F32F-4FA6-9228-B4E867AAC944}" name="Low Salary (MA Only)" dataDxfId="52" dataCellStyle="Currency"/>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3985D34C-FD53-40E0-B78B-D08DAE263461}" name="Table8" displayName="Table8" ref="B26:C44" totalsRowShown="0" headerRowDxfId="51" dataDxfId="49" headerRowBorderDxfId="50" tableBorderDxfId="48">
  <autoFilter ref="B26:C44" xr:uid="{3985D34C-FD53-40E0-B78B-D08DAE263461}"/>
  <sortState xmlns:xlrd2="http://schemas.microsoft.com/office/spreadsheetml/2017/richdata2" ref="B27:C44">
    <sortCondition descending="1" ref="C26:C44"/>
  </sortState>
  <tableColumns count="2">
    <tableColumn id="1" xr3:uid="{398AE860-C2D6-4C43-913C-4332928498F2}" name="DISTRICT" dataDxfId="47" dataCellStyle="Hyperlink"/>
    <tableColumn id="2" xr3:uid="{D68CABC7-67F6-434F-8088-D8DA12D613BE}" name="MA+5 Years " dataDxfId="46" dataCellStyle="Currency"/>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A9AF67AE-6B72-490B-8983-8B5746C99985}" name="Table9" displayName="Table9" ref="B26:C44" totalsRowShown="0" headerRowDxfId="45" dataDxfId="43" headerRowBorderDxfId="44" tableBorderDxfId="42">
  <autoFilter ref="B26:C44" xr:uid="{A9AF67AE-6B72-490B-8983-8B5746C99985}"/>
  <sortState xmlns:xlrd2="http://schemas.microsoft.com/office/spreadsheetml/2017/richdata2" ref="B27:C44">
    <sortCondition descending="1" ref="C26:C44"/>
  </sortState>
  <tableColumns count="2">
    <tableColumn id="1" xr3:uid="{42A09A49-B6B4-413A-A49B-807950D3A940}" name="DISTRICT" dataDxfId="41" dataCellStyle="Hyperlink"/>
    <tableColumn id="2" xr3:uid="{15A1B4CF-24E6-4212-A82D-03746627E64C}" name="MA + 30 Units + 10 Years " dataDxfId="40" dataCellStyle="Currency"/>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23FAAAB0-BDE9-42FF-878B-E80BF6AFB1AE}" name="Table10" displayName="Table10" ref="B26:C44" totalsRowShown="0" headerRowDxfId="39" dataDxfId="37" headerRowBorderDxfId="38" tableBorderDxfId="36">
  <autoFilter ref="B26:C44" xr:uid="{23FAAAB0-BDE9-42FF-878B-E80BF6AFB1AE}"/>
  <tableColumns count="2">
    <tableColumn id="1" xr3:uid="{6D2A3E76-0C18-4069-B9FC-ED058CF5C069}" name="DISTRICT" dataDxfId="35" dataCellStyle="Hyperlink"/>
    <tableColumn id="2" xr3:uid="{CF6C0A0C-2F97-4A9A-8990-8179227D265B}" name="MA + 60 Units + 20 Years " dataDxfId="34"/>
  </tableColumns>
  <tableStyleInfo name="TableStyleMedium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ebextensions/_rels/taskpanes.xml.rels><?xml version="1.0" encoding="UTF-8" standalone="yes"?>
<Relationships xmlns="http://schemas.openxmlformats.org/package/2006/relationships"><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0" width="350" row="1">
    <wetp:webextensionref xmlns:r="http://schemas.openxmlformats.org/officeDocument/2006/relationships" r:id="rId1"/>
  </wetp:taskpane>
</wetp:taskpanes>
</file>

<file path=xl/webextensions/webextension1.xml><?xml version="1.0" encoding="utf-8"?>
<we:webextension xmlns:we="http://schemas.microsoft.com/office/webextensions/webextension/2010/11" id="{198B7DE8-EDE7-400C-A597-DFE630434D99}">
  <we:reference id="5e06c43c-2f1e-47d7-adf3-9249a199c232" version="1.2.0.0" store="EXCatalog" storeType="EXCatalog"/>
  <we:alternateReferences/>
  <we:properties>
    <we:property name="Office.AutoShowTaskpaneWithDocument" value="true"/>
  </we:properties>
  <we:bindings/>
  <we:snapshot xmlns:r="http://schemas.openxmlformats.org/officeDocument/2006/relationships"/>
</we:webextension>
</file>

<file path=xl/worksheets/_rels/sheet1.xml.rels><?xml version="1.0" encoding="UTF-8" standalone="yes"?>
<Relationships xmlns="http://schemas.openxmlformats.org/package/2006/relationships"><Relationship Id="rId117" Type="http://schemas.openxmlformats.org/officeDocument/2006/relationships/hyperlink" Target="https://employees.losrios.edu/shared/doc/hr/cba/lrcft/2024-2027/lrcft2023-2026.pdf" TargetMode="External"/><Relationship Id="rId21" Type="http://schemas.openxmlformats.org/officeDocument/2006/relationships/hyperlink" Target="https://www.bestplaces.net/cost_of_living/city/california/monterey" TargetMode="External"/><Relationship Id="rId42" Type="http://schemas.openxmlformats.org/officeDocument/2006/relationships/hyperlink" Target="https://www.kccd.edu/human-resources/_documents/contracts/faculty/FINAL%20KCCD%20CCA%20Contract%20%202023-2026%20CBA%20-%20revised%2012.13.23.pdf" TargetMode="External"/><Relationship Id="rId63" Type="http://schemas.openxmlformats.org/officeDocument/2006/relationships/hyperlink" Target="https://www.hartnell.edu/hr/hcfa_cba_2022-2025.pdf" TargetMode="External"/><Relationship Id="rId84" Type="http://schemas.openxmlformats.org/officeDocument/2006/relationships/hyperlink" Target="https://drive.google.com/file/d/1TiCBNJXCz78mQDg0QFYWPd3Qg7388sOI/view" TargetMode="External"/><Relationship Id="rId138" Type="http://schemas.openxmlformats.org/officeDocument/2006/relationships/hyperlink" Target="https://deltacollege.edu/sites/default/files/sjdcta_cba_2024-2027.pdf" TargetMode="External"/><Relationship Id="rId159" Type="http://schemas.openxmlformats.org/officeDocument/2006/relationships/hyperlink" Target="https://www.salary.com/research/cost-of-living/compare/merced-ca/fresno-ca" TargetMode="External"/><Relationship Id="rId170" Type="http://schemas.openxmlformats.org/officeDocument/2006/relationships/hyperlink" Target="https://www.scccd.edu/_uploaded-files/documents/scccd-scft-agreement-2022-2025-05.9.23-accessible-copy.pdf" TargetMode="External"/><Relationship Id="rId191" Type="http://schemas.openxmlformats.org/officeDocument/2006/relationships/hyperlink" Target="https://www.salary.com/research/cost-of-living/compare/fresno-ca/visalia-ca" TargetMode="External"/><Relationship Id="rId205" Type="http://schemas.openxmlformats.org/officeDocument/2006/relationships/hyperlink" Target="https://www.salary.com/research/cost-of-living/compare/fresno-ca/modesto-ca" TargetMode="External"/><Relationship Id="rId107" Type="http://schemas.openxmlformats.org/officeDocument/2006/relationships/hyperlink" Target="https://www.bestplaces.net/cost_of_living/city/california/santa_maria" TargetMode="External"/><Relationship Id="rId11" Type="http://schemas.openxmlformats.org/officeDocument/2006/relationships/hyperlink" Target="https://www.hartnell.edu/hr/hcfa_cba_2022-2025.pdf" TargetMode="External"/><Relationship Id="rId32" Type="http://schemas.openxmlformats.org/officeDocument/2006/relationships/hyperlink" Target="https://westhillscollege.com/district/about/jobs-at-whc/documents/177-faculty-salary-schedule.pdf" TargetMode="External"/><Relationship Id="rId53" Type="http://schemas.openxmlformats.org/officeDocument/2006/relationships/hyperlink" Target="https://www.kccd.edu/human-resources/_documents/contracts/faculty/FINAL%20KCCD%20CCA%20Contract%20%202023-2026%20CBA%20-%20revised%2012.13.23.pdf" TargetMode="External"/><Relationship Id="rId74" Type="http://schemas.openxmlformats.org/officeDocument/2006/relationships/hyperlink" Target="https://www.yosemite.edu/hr/employeeforms/contracts_handbooks/yfa_collective_bargaining_agreement_2023_-_2026.pdf" TargetMode="External"/><Relationship Id="rId128" Type="http://schemas.openxmlformats.org/officeDocument/2006/relationships/hyperlink" Target="https://employees.losrios.edu/shared/doc/hr/cba/lrcft/2024-2027/lrcft2023-2026.pdf" TargetMode="External"/><Relationship Id="rId149" Type="http://schemas.openxmlformats.org/officeDocument/2006/relationships/hyperlink" Target="https://www.cos.edu/en-us/Documents/COSTA%20Master%20Agreement%20(2024-2027).pdf" TargetMode="External"/><Relationship Id="rId5" Type="http://schemas.openxmlformats.org/officeDocument/2006/relationships/hyperlink" Target="https://www.cos.edu/en-us/Documents/COSTA%20Master%20Agreement%20(2024-2027).pdf" TargetMode="External"/><Relationship Id="rId95" Type="http://schemas.openxmlformats.org/officeDocument/2006/relationships/hyperlink" Target="https://www.gavilan.edu/jobs/docs/FY-24-25-GCFA-COLLECTIVE-BARGAINING-AGREEMENT-Final.pdf" TargetMode="External"/><Relationship Id="rId160" Type="http://schemas.openxmlformats.org/officeDocument/2006/relationships/hyperlink" Target="https://www.salary.com/research/cost-of-living/compare/aptos-ca/fresno-ca" TargetMode="External"/><Relationship Id="rId181" Type="http://schemas.openxmlformats.org/officeDocument/2006/relationships/hyperlink" Target="https://www.salary.com/research/cost-of-living/compare/fresno-ca/camarillo-ca" TargetMode="External"/><Relationship Id="rId22" Type="http://schemas.openxmlformats.org/officeDocument/2006/relationships/hyperlink" Target="https://www.cuesta.edu/about/documents/hr_docs/CCFT_COLLECTIVE_BARGAINING_AGREEMENT_2023-2025.pdf" TargetMode="External"/><Relationship Id="rId43" Type="http://schemas.openxmlformats.org/officeDocument/2006/relationships/hyperlink" Target="https://www.mccd.edu/wp-content/uploads/2024/06/mcfa-2024-2027-agreement-final-signed-website-2.pdf" TargetMode="External"/><Relationship Id="rId64" Type="http://schemas.openxmlformats.org/officeDocument/2006/relationships/hyperlink" Target="https://www.kccd.edu/human-resources/_documents/contracts/faculty/FINAL%20KCCD%20CCA%20Contract%20%202023-2026%20CBA%20-%20revised%2012.13.23.pdf" TargetMode="External"/><Relationship Id="rId118" Type="http://schemas.openxmlformats.org/officeDocument/2006/relationships/hyperlink" Target="https://www.vcccd.edu/sites/default/files/media/pdf_document/2023/2022-2025%20AFT%20-%20VCCCD%20Contract.pdf" TargetMode="External"/><Relationship Id="rId139" Type="http://schemas.openxmlformats.org/officeDocument/2006/relationships/hyperlink" Target="https://deltacollege.edu/sites/default/files/salaryschedule-2024-2026/faculty_salary_schedules_-_2025-2026.pdf" TargetMode="External"/><Relationship Id="rId85" Type="http://schemas.openxmlformats.org/officeDocument/2006/relationships/hyperlink" Target="https://www.yosemite.edu/hr/employeeforms/contracts_handbooks/yfa_collective_bargaining_agreement_2023_-_2026.pdf" TargetMode="External"/><Relationship Id="rId150" Type="http://schemas.openxmlformats.org/officeDocument/2006/relationships/hyperlink" Target="https://www.cos.edu/en-us/Documents/COSTA%20Master%20Agreement%20(2024-2027).pdf" TargetMode="External"/><Relationship Id="rId171" Type="http://schemas.openxmlformats.org/officeDocument/2006/relationships/hyperlink" Target="https://www.scccd.edu/_uploaded-files/documents/2024-25-salary-schedule-a-1.07-cola.pdf" TargetMode="External"/><Relationship Id="rId192" Type="http://schemas.openxmlformats.org/officeDocument/2006/relationships/hyperlink" Target="https://www.salary.com/research/cost-of-living/compare/fresno-ca/bakersfield-ca" TargetMode="External"/><Relationship Id="rId206" Type="http://schemas.openxmlformats.org/officeDocument/2006/relationships/hyperlink" Target="https://www.salary.com/research/cost-of-living/compare/fresno-ca/martinez-ca" TargetMode="External"/><Relationship Id="rId12" Type="http://schemas.openxmlformats.org/officeDocument/2006/relationships/hyperlink" Target="https://www.bestplaces.net/cost_of_living/city/california/salinas" TargetMode="External"/><Relationship Id="rId33" Type="http://schemas.openxmlformats.org/officeDocument/2006/relationships/hyperlink" Target="https://www.bestplaces.net/cost_of_living/city/california/coalinga" TargetMode="External"/><Relationship Id="rId108" Type="http://schemas.openxmlformats.org/officeDocument/2006/relationships/hyperlink" Target="https://employees.losrios.edu/lrccd/employee/doc/hr/salary-schedules/2025-2026/A164-25-26.pdf" TargetMode="External"/><Relationship Id="rId129" Type="http://schemas.openxmlformats.org/officeDocument/2006/relationships/hyperlink" Target="https://www.vcccd.edu/sites/default/files/media/pdf_document/2023/2022-2025%20AFT%20-%20VCCCD%20Contract.pdf" TargetMode="External"/><Relationship Id="rId54" Type="http://schemas.openxmlformats.org/officeDocument/2006/relationships/hyperlink" Target="https://www.mccd.edu/wp-content/uploads/2024/06/mcfa-2024-2027-agreement-final-signed-website-2.pdf" TargetMode="External"/><Relationship Id="rId75" Type="http://schemas.openxmlformats.org/officeDocument/2006/relationships/hyperlink" Target="https://www.gavilan.edu/jobs/docs/FY-24-25-GCFA-COLLECTIVE-BARGAINING-AGREEMENT-Final.pdf" TargetMode="External"/><Relationship Id="rId96" Type="http://schemas.openxmlformats.org/officeDocument/2006/relationships/hyperlink" Target="https://www.hartnell.edu/hr/hcfa_cba_2022-2025.pdf" TargetMode="External"/><Relationship Id="rId140" Type="http://schemas.openxmlformats.org/officeDocument/2006/relationships/hyperlink" Target="https://www.bestplaces.net/cost_of_living/city/california/stockton" TargetMode="External"/><Relationship Id="rId161" Type="http://schemas.openxmlformats.org/officeDocument/2006/relationships/hyperlink" Target="https://www.salary.com/research/cost-of-living/compare/gilroy-ca/fresno-ca" TargetMode="External"/><Relationship Id="rId182" Type="http://schemas.openxmlformats.org/officeDocument/2006/relationships/hyperlink" Target="https://www.salary.com/research/cost-of-living/compare/fresno-ca/san-luis-obispo-ca" TargetMode="External"/><Relationship Id="rId6" Type="http://schemas.openxmlformats.org/officeDocument/2006/relationships/hyperlink" Target="https://www.cos.edu/en-us/Documents/Faculty%20Salary%20Schedule%202026.pdf" TargetMode="External"/><Relationship Id="rId23" Type="http://schemas.openxmlformats.org/officeDocument/2006/relationships/hyperlink" Target="https://www.cuesta.edu/about/documents/hr_docs/salary-schedules/FT_PT_Salary_Schedule_Effective_07_01_2025.pdf" TargetMode="External"/><Relationship Id="rId119" Type="http://schemas.openxmlformats.org/officeDocument/2006/relationships/hyperlink" Target="https://www.hancockcollege.edu/hr/documents/Final%20Faculty%20CBA%202024-2027.pdf" TargetMode="External"/><Relationship Id="rId44" Type="http://schemas.openxmlformats.org/officeDocument/2006/relationships/hyperlink" Target="https://drive.google.com/file/d/1TiCBNJXCz78mQDg0QFYWPd3Qg7388sOI/view" TargetMode="External"/><Relationship Id="rId65" Type="http://schemas.openxmlformats.org/officeDocument/2006/relationships/hyperlink" Target="https://www.mccd.edu/wp-content/uploads/2024/06/mcfa-2024-2027-agreement-final-signed-website-2.pdf" TargetMode="External"/><Relationship Id="rId86" Type="http://schemas.openxmlformats.org/officeDocument/2006/relationships/hyperlink" Target="https://www.taftcollege.edu/faculty-staff/resources/_files/docs/2023-26%20Faculty%20CBA%20FINAL.pdf" TargetMode="External"/><Relationship Id="rId130" Type="http://schemas.openxmlformats.org/officeDocument/2006/relationships/hyperlink" Target="https://employees.losrios.edu/shared/doc/hr/cba/lrcft/2024-2027/lrcft2023-2026.pdf" TargetMode="External"/><Relationship Id="rId151" Type="http://schemas.openxmlformats.org/officeDocument/2006/relationships/hyperlink" Target="https://www.cos.edu/en-us/Documents/COSTA%20Master%20Agreement%20(2024-2027).pdf" TargetMode="External"/><Relationship Id="rId172" Type="http://schemas.openxmlformats.org/officeDocument/2006/relationships/hyperlink" Target="https://www.bestplaces.net/cost_of_living/city/california/fresno" TargetMode="External"/><Relationship Id="rId193" Type="http://schemas.openxmlformats.org/officeDocument/2006/relationships/hyperlink" Target="https://www.salary.com/research/cost-of-living/compare/fresno-ca/visalia-ca" TargetMode="External"/><Relationship Id="rId207" Type="http://schemas.openxmlformats.org/officeDocument/2006/relationships/hyperlink" Target="https://www.salary.com/research/cost-of-living/compare/fresno-ca/santa-maria-ca" TargetMode="External"/><Relationship Id="rId13" Type="http://schemas.openxmlformats.org/officeDocument/2006/relationships/hyperlink" Target="https://www.kccd.edu/human-resources/_documents/contracts/faculty/FINAL%20KCCD%20CCA%20Contract%20%202023-2026%20CBA%20-%20revised%2012.13.23.pdf" TargetMode="External"/><Relationship Id="rId109" Type="http://schemas.openxmlformats.org/officeDocument/2006/relationships/hyperlink" Target="https://www.vcccd.edu/sites/default/files/media/pdf_document/2024/Faculty%20Salary%20Tables%20FY%202024%20-%202025.pdf" TargetMode="External"/><Relationship Id="rId34" Type="http://schemas.openxmlformats.org/officeDocument/2006/relationships/hyperlink" Target="https://www.yosemite.edu/hr/employeeforms/salary_schedules/certsalaryschedule2025-2026.pdf" TargetMode="External"/><Relationship Id="rId55" Type="http://schemas.openxmlformats.org/officeDocument/2006/relationships/hyperlink" Target="https://drive.google.com/file/d/1TiCBNJXCz78mQDg0QFYWPd3Qg7388sOI/view" TargetMode="External"/><Relationship Id="rId76" Type="http://schemas.openxmlformats.org/officeDocument/2006/relationships/hyperlink" Target="https://www.kccd.edu/human-resources/_documents/contracts/faculty/FINAL%20KCCD%20CCA%20Contract%20%202023-2026%20CBA%20-%20revised%2012.13.23.pdf" TargetMode="External"/><Relationship Id="rId97" Type="http://schemas.openxmlformats.org/officeDocument/2006/relationships/hyperlink" Target="https://www.kccd.edu/human-resources/_documents/contracts/faculty/FINAL%20KCCD%20CCA%20Contract%20%202023-2026%20CBA%20-%20revised%2012.13.23.pdf" TargetMode="External"/><Relationship Id="rId120" Type="http://schemas.openxmlformats.org/officeDocument/2006/relationships/hyperlink" Target="https://www.4cd.edu/gb/policies-procedures/hr/SalarySchedules.pdf" TargetMode="External"/><Relationship Id="rId141" Type="http://schemas.openxmlformats.org/officeDocument/2006/relationships/hyperlink" Target="https://deltacollege.edu/sites/default/files/sjdcta_cba_2024-2027.pdf" TargetMode="External"/><Relationship Id="rId7" Type="http://schemas.openxmlformats.org/officeDocument/2006/relationships/hyperlink" Target="https://www.bestplaces.net/cost_of_living/city/california/visalia" TargetMode="External"/><Relationship Id="rId162" Type="http://schemas.openxmlformats.org/officeDocument/2006/relationships/hyperlink" Target="https://www.salary.com/research/cost-of-living/compare/san-luis-obispo-ca/fresno-ca" TargetMode="External"/><Relationship Id="rId183" Type="http://schemas.openxmlformats.org/officeDocument/2006/relationships/hyperlink" Target="https://www.salary.com/research/cost-of-living/compare/fresno-ca/gilroy-ca" TargetMode="External"/><Relationship Id="rId24" Type="http://schemas.openxmlformats.org/officeDocument/2006/relationships/hyperlink" Target="https://www.bestplaces.net/cost_of_living/city/california/san_luis_obispo" TargetMode="External"/><Relationship Id="rId45" Type="http://schemas.openxmlformats.org/officeDocument/2006/relationships/hyperlink" Target="https://www.cuesta.edu/about/documents/hr_docs/CCFT_COLLECTIVE_BARGAINING_AGREEMENT_2023-2025.pdf" TargetMode="External"/><Relationship Id="rId66" Type="http://schemas.openxmlformats.org/officeDocument/2006/relationships/hyperlink" Target="https://drive.google.com/file/d/1TiCBNJXCz78mQDg0QFYWPd3Qg7388sOI/view" TargetMode="External"/><Relationship Id="rId87" Type="http://schemas.openxmlformats.org/officeDocument/2006/relationships/hyperlink" Target="https://www.gavilan.edu/jobs/docs/FY-24-25-GCFA-COLLECTIVE-BARGAINING-AGREEMENT-Final.pdf" TargetMode="External"/><Relationship Id="rId110" Type="http://schemas.openxmlformats.org/officeDocument/2006/relationships/hyperlink" Target="https://www.vcccd.edu/sites/default/files/media/pdf_document/2023/2022-2025%20AFT%20-%20VCCCD%20Contract.pdf" TargetMode="External"/><Relationship Id="rId131" Type="http://schemas.openxmlformats.org/officeDocument/2006/relationships/hyperlink" Target="https://www.hancockcollege.edu/hr/documents/Final%20Faculty%20CBA%202024-2027.pdf" TargetMode="External"/><Relationship Id="rId152" Type="http://schemas.openxmlformats.org/officeDocument/2006/relationships/hyperlink" Target="https://www.cos.edu/en-us/Documents/COSTA%20Master%20Agreement%20(2024-2027).pdf" TargetMode="External"/><Relationship Id="rId173" Type="http://schemas.openxmlformats.org/officeDocument/2006/relationships/hyperlink" Target="https://www.scccd.edu/_uploaded-files/documents/scccd-scft-agreement-2022-2025-05.9.23-accessible-copy.pdf" TargetMode="External"/><Relationship Id="rId194" Type="http://schemas.openxmlformats.org/officeDocument/2006/relationships/hyperlink" Target="https://www.salary.com/research/cost-of-living/compare/fresno-ca/coalinga-ca" TargetMode="External"/><Relationship Id="rId208" Type="http://schemas.openxmlformats.org/officeDocument/2006/relationships/printerSettings" Target="../printerSettings/printerSettings2.bin"/><Relationship Id="rId19" Type="http://schemas.openxmlformats.org/officeDocument/2006/relationships/hyperlink" Target="https://drive.google.com/file/d/1-27b6ENLPLmCyP2HGmiKgBM9VK_Yq6wL/view" TargetMode="External"/><Relationship Id="rId14" Type="http://schemas.openxmlformats.org/officeDocument/2006/relationships/hyperlink" Target="https://www.kccd.edu/human-resources/_documents/salary-schedules/2025-26%205.88%20inc%20175%20day%20salary%20schedule.pdf" TargetMode="External"/><Relationship Id="rId30" Type="http://schemas.openxmlformats.org/officeDocument/2006/relationships/hyperlink" Target="https://www.bestplaces.net/cost_of_living/city/california/taft" TargetMode="External"/><Relationship Id="rId35" Type="http://schemas.openxmlformats.org/officeDocument/2006/relationships/hyperlink" Target="https://www.yosemite.edu/hr/employeeforms/contracts_handbooks/yfa_collective_bargaining_agreement_2023_-_2026.pdf" TargetMode="External"/><Relationship Id="rId56" Type="http://schemas.openxmlformats.org/officeDocument/2006/relationships/hyperlink" Target="https://www.cuesta.edu/about/documents/hr_docs/CCFT_COLLECTIVE_BARGAINING_AGREEMENT_2023-2025.pdf" TargetMode="External"/><Relationship Id="rId77" Type="http://schemas.openxmlformats.org/officeDocument/2006/relationships/hyperlink" Target="https://www.scccd.edu/_uploaded-files/documents/scccd-scft-agreement-2022-2025-05.9.23-accessible-copy.pdf" TargetMode="External"/><Relationship Id="rId100" Type="http://schemas.openxmlformats.org/officeDocument/2006/relationships/hyperlink" Target="https://www.cuesta.edu/about/documents/hr_docs/CCFT_COLLECTIVE_BARGAINING_AGREEMENT_2023-2025.pdf" TargetMode="External"/><Relationship Id="rId105" Type="http://schemas.openxmlformats.org/officeDocument/2006/relationships/hyperlink" Target="https://www.hancockcollege.edu/hr/documents/Final%20Faculty%20CBA%202024-2027.pdf" TargetMode="External"/><Relationship Id="rId126" Type="http://schemas.openxmlformats.org/officeDocument/2006/relationships/hyperlink" Target="https://www.4cd.edu/hr/ufcontract/Final%202022-2025%20UF%20Contract.pdf" TargetMode="External"/><Relationship Id="rId147" Type="http://schemas.openxmlformats.org/officeDocument/2006/relationships/hyperlink" Target="https://www.vcccd.edu/sites/default/files/media/pdf_document/2023/2022-2025%20AFT%20-%20VCCCD%20Contract.pdf" TargetMode="External"/><Relationship Id="rId168" Type="http://schemas.openxmlformats.org/officeDocument/2006/relationships/hyperlink" Target="https://www.salary.com/research/cost-of-living/compare/santa-maria-ca/fresno-ca" TargetMode="External"/><Relationship Id="rId8" Type="http://schemas.openxmlformats.org/officeDocument/2006/relationships/hyperlink" Target="https://www.gavilan.edu/jobs/docs/FY-24-25-GCFA-COLLECTIVE-BARGAINING-AGREEMENT-Final.pdf" TargetMode="External"/><Relationship Id="rId51" Type="http://schemas.openxmlformats.org/officeDocument/2006/relationships/hyperlink" Target="https://www.gavilan.edu/jobs/docs/FY-24-25-GCFA-COLLECTIVE-BARGAINING-AGREEMENT-Final.pdf" TargetMode="External"/><Relationship Id="rId72" Type="http://schemas.openxmlformats.org/officeDocument/2006/relationships/hyperlink" Target="https://www.taftcollege.edu/faculty-staff/resources/_files/docs/2023-26%20Faculty%20CBA%20FINAL.pdf" TargetMode="External"/><Relationship Id="rId93" Type="http://schemas.openxmlformats.org/officeDocument/2006/relationships/hyperlink" Target="https://drive.google.com/file/d/1bf8rRx3DxkG0Cpm3ps8VUd6PjQT3Jiyz/view" TargetMode="External"/><Relationship Id="rId98" Type="http://schemas.openxmlformats.org/officeDocument/2006/relationships/hyperlink" Target="https://www.mccd.edu/wp-content/uploads/2024/06/mcfa-2024-2027-agreement-final-signed-website-2.pdf" TargetMode="External"/><Relationship Id="rId121" Type="http://schemas.openxmlformats.org/officeDocument/2006/relationships/hyperlink" Target="https://www.4cd.edu/hr/ufcontract/Final%202022-2025%20UF%20Contract.pdf" TargetMode="External"/><Relationship Id="rId142" Type="http://schemas.openxmlformats.org/officeDocument/2006/relationships/hyperlink" Target="https://deltacollege.edu/sites/default/files/sjdcta_cba_2024-2027.pdf" TargetMode="External"/><Relationship Id="rId163" Type="http://schemas.openxmlformats.org/officeDocument/2006/relationships/hyperlink" Target="https://www.salary.com/research/cost-of-living/compare/camarillo-ca/fresno-ca" TargetMode="External"/><Relationship Id="rId184" Type="http://schemas.openxmlformats.org/officeDocument/2006/relationships/hyperlink" Target="https://www.salary.com/research/cost-of-living/compare/fresno-ca/aptos-ca" TargetMode="External"/><Relationship Id="rId189" Type="http://schemas.openxmlformats.org/officeDocument/2006/relationships/hyperlink" Target="https://www.salary.com/research/cost-of-living/compare/fresno-ca/bakersfield-ca" TargetMode="External"/><Relationship Id="rId3" Type="http://schemas.openxmlformats.org/officeDocument/2006/relationships/hyperlink" Target="https://drive.google.com/file/d/1lvftk1VXOOhdAjGAdsXJoohwlRx7mHun/view" TargetMode="External"/><Relationship Id="rId214" Type="http://schemas.openxmlformats.org/officeDocument/2006/relationships/table" Target="../tables/table4.xml"/><Relationship Id="rId25" Type="http://schemas.openxmlformats.org/officeDocument/2006/relationships/hyperlink" Target="https://www.scccd.edu/_uploaded-files/documents/scccd-scft-agreement-2022-2025-05.9.23-accessible-copy.pdf" TargetMode="External"/><Relationship Id="rId46" Type="http://schemas.openxmlformats.org/officeDocument/2006/relationships/hyperlink" Target="https://www.scccd.edu/_uploaded-files/documents/scccd-scft-agreement-2022-2025-05.9.23-accessible-copy.pdf" TargetMode="External"/><Relationship Id="rId67" Type="http://schemas.openxmlformats.org/officeDocument/2006/relationships/hyperlink" Target="https://www.cuesta.edu/about/documents/hr_docs/CCFT_COLLECTIVE_BARGAINING_AGREEMENT_2023-2025.pdf" TargetMode="External"/><Relationship Id="rId116" Type="http://schemas.openxmlformats.org/officeDocument/2006/relationships/hyperlink" Target="https://www.vcccd.edu/sites/default/files/media/pdf_document/2023/2022-2025%20AFT%20-%20VCCCD%20Contract.pdf" TargetMode="External"/><Relationship Id="rId137" Type="http://schemas.openxmlformats.org/officeDocument/2006/relationships/hyperlink" Target="https://deltacollege.edu/sites/default/files/sjdcta_cba_2024-2027.pdf" TargetMode="External"/><Relationship Id="rId158" Type="http://schemas.openxmlformats.org/officeDocument/2006/relationships/hyperlink" Target="https://www.salary.com/research/cost-of-living/compare/stockton-ca/fresno-ca" TargetMode="External"/><Relationship Id="rId20" Type="http://schemas.openxmlformats.org/officeDocument/2006/relationships/hyperlink" Target="https://drive.google.com/file/d/1TiCBNJXCz78mQDg0QFYWPd3Qg7388sOI/view" TargetMode="External"/><Relationship Id="rId41" Type="http://schemas.openxmlformats.org/officeDocument/2006/relationships/hyperlink" Target="https://www.hartnell.edu/hr/hcfa_cba_2022-2025.pdf" TargetMode="External"/><Relationship Id="rId62" Type="http://schemas.openxmlformats.org/officeDocument/2006/relationships/hyperlink" Target="https://www.gavilan.edu/jobs/docs/FY-24-25-GCFA-COLLECTIVE-BARGAINING-AGREEMENT-Final.pdf" TargetMode="External"/><Relationship Id="rId83" Type="http://schemas.openxmlformats.org/officeDocument/2006/relationships/hyperlink" Target="https://www.kccd.edu/human-resources/_documents/contracts/faculty/FINAL%20KCCD%20CCA%20Contract%20%202023-2026%20CBA%20-%20revised%2012.13.23.pdf" TargetMode="External"/><Relationship Id="rId88" Type="http://schemas.openxmlformats.org/officeDocument/2006/relationships/hyperlink" Target="https://www.scccd.edu/_uploaded-files/documents/scccd-scft-agreement-2022-2025-05.9.23-accessible-copy.pdf" TargetMode="External"/><Relationship Id="rId111" Type="http://schemas.openxmlformats.org/officeDocument/2006/relationships/hyperlink" Target="https://employees.losrios.edu/shared/doc/hr/cba/lrcft/2024-2027/lrcft2023-2026.pdf" TargetMode="External"/><Relationship Id="rId132" Type="http://schemas.openxmlformats.org/officeDocument/2006/relationships/hyperlink" Target="https://www.4cd.edu/hr/ufcontract/Final%202022-2025%20UF%20Contract.pdf" TargetMode="External"/><Relationship Id="rId153" Type="http://schemas.openxmlformats.org/officeDocument/2006/relationships/hyperlink" Target="https://www.cos.edu/en-us/Documents/COSTA%20Master%20Agreement%20(2024-2027).pdf" TargetMode="External"/><Relationship Id="rId174" Type="http://schemas.openxmlformats.org/officeDocument/2006/relationships/hyperlink" Target="https://www.scccd.edu/_uploaded-files/documents/scccd-scft-agreement-2022-2025-05.9.23-accessible-copy.pdf" TargetMode="External"/><Relationship Id="rId179" Type="http://schemas.openxmlformats.org/officeDocument/2006/relationships/hyperlink" Target="https://www.salary.com/research/cost-of-living/compare/fresno-ca/sacramento-ca" TargetMode="External"/><Relationship Id="rId195" Type="http://schemas.openxmlformats.org/officeDocument/2006/relationships/hyperlink" Target="https://www.salary.com/research/cost-of-living/compare/fresno-ca/taft-ca" TargetMode="External"/><Relationship Id="rId209" Type="http://schemas.openxmlformats.org/officeDocument/2006/relationships/drawing" Target="../drawings/drawing1.xml"/><Relationship Id="rId190" Type="http://schemas.openxmlformats.org/officeDocument/2006/relationships/hyperlink" Target="https://www.salary.com/research/cost-of-living/compare/fresno-ca/coalinga-ca" TargetMode="External"/><Relationship Id="rId204" Type="http://schemas.openxmlformats.org/officeDocument/2006/relationships/hyperlink" Target="https://www.salary.com/research/cost-of-living/compare/fresno-ca/sacramento-ca" TargetMode="External"/><Relationship Id="rId15" Type="http://schemas.openxmlformats.org/officeDocument/2006/relationships/hyperlink" Target="https://www.bestplaces.net/cost_of_living/city/california/bakersfield" TargetMode="External"/><Relationship Id="rId36" Type="http://schemas.openxmlformats.org/officeDocument/2006/relationships/hyperlink" Target="https://www.bestplaces.net/cost_of_living/city/california/modesto" TargetMode="External"/><Relationship Id="rId57" Type="http://schemas.openxmlformats.org/officeDocument/2006/relationships/hyperlink" Target="https://www.scccd.edu/_uploaded-files/documents/scccd-scft-agreement-2022-2025-05.9.23-accessible-copy.pdf" TargetMode="External"/><Relationship Id="rId106" Type="http://schemas.openxmlformats.org/officeDocument/2006/relationships/hyperlink" Target="https://www.hancockcollege.edu/hr/documents/FT25SS-11-13%2060_61%20FTFaculty%20070124.pdf" TargetMode="External"/><Relationship Id="rId127" Type="http://schemas.openxmlformats.org/officeDocument/2006/relationships/hyperlink" Target="https://www.vcccd.edu/sites/default/files/media/pdf_document/2023/2022-2025%20AFT%20-%20VCCCD%20Contract.pdf" TargetMode="External"/><Relationship Id="rId10" Type="http://schemas.openxmlformats.org/officeDocument/2006/relationships/hyperlink" Target="https://www.bestplaces.net/cost_of_living/city/california/gilroy" TargetMode="External"/><Relationship Id="rId31" Type="http://schemas.openxmlformats.org/officeDocument/2006/relationships/hyperlink" Target="https://westhillscollege.com/district/departments/human-resources/documents/cta_contract.pdf" TargetMode="External"/><Relationship Id="rId52" Type="http://schemas.openxmlformats.org/officeDocument/2006/relationships/hyperlink" Target="https://www.hartnell.edu/hr/hcfa_cba_2022-2025.pdf" TargetMode="External"/><Relationship Id="rId73" Type="http://schemas.openxmlformats.org/officeDocument/2006/relationships/hyperlink" Target="https://www.hartnell.edu/hr/hcfa_cba_2022-2025.pdf" TargetMode="External"/><Relationship Id="rId78" Type="http://schemas.openxmlformats.org/officeDocument/2006/relationships/hyperlink" Target="https://www.cuesta.edu/about/documents/hr_docs/CCFT_COLLECTIVE_BARGAINING_AGREEMENT_2023-2025.pdf" TargetMode="External"/><Relationship Id="rId94" Type="http://schemas.openxmlformats.org/officeDocument/2006/relationships/hyperlink" Target="https://www.cos.edu/en-us/Documents/COSTA%20MA%20(2021-2024)%20(Updated%20March%2028%202022).pdf" TargetMode="External"/><Relationship Id="rId99" Type="http://schemas.openxmlformats.org/officeDocument/2006/relationships/hyperlink" Target="https://drive.google.com/file/d/1TiCBNJXCz78mQDg0QFYWPd3Qg7388sOI/view" TargetMode="External"/><Relationship Id="rId101" Type="http://schemas.openxmlformats.org/officeDocument/2006/relationships/hyperlink" Target="https://www.scccd.edu/_uploaded-files/documents/scccd-scft-agreement-2022-2025-05.9.23-accessible-copy.pdf" TargetMode="External"/><Relationship Id="rId122" Type="http://schemas.openxmlformats.org/officeDocument/2006/relationships/hyperlink" Target="https://www.bestplaces.net/cost_of_living/city/california/martinez" TargetMode="External"/><Relationship Id="rId143" Type="http://schemas.openxmlformats.org/officeDocument/2006/relationships/hyperlink" Target="https://deltacollege.edu/sites/default/files/sjdcta_cba_2024-2027.pdf" TargetMode="External"/><Relationship Id="rId148" Type="http://schemas.openxmlformats.org/officeDocument/2006/relationships/hyperlink" Target="https://employees.losrios.edu/shared/doc/hr/cba/lrcft/2024-2027/lrcft2023-2026.pdf" TargetMode="External"/><Relationship Id="rId164" Type="http://schemas.openxmlformats.org/officeDocument/2006/relationships/hyperlink" Target="https://www.salary.com/research/cost-of-living/compare/monterey-ca/fresno-ca" TargetMode="External"/><Relationship Id="rId169" Type="http://schemas.openxmlformats.org/officeDocument/2006/relationships/hyperlink" Target="https://www.salary.com/research/cost-of-living/compare/coalinga-ca/fresno-ca" TargetMode="External"/><Relationship Id="rId185" Type="http://schemas.openxmlformats.org/officeDocument/2006/relationships/hyperlink" Target="https://www.salary.com/research/cost-of-living/compare/fresno-ca/merced-ca" TargetMode="External"/><Relationship Id="rId4" Type="http://schemas.openxmlformats.org/officeDocument/2006/relationships/hyperlink" Target="https://www.bestplaces.net/cost_of_living/city/california/aptos" TargetMode="External"/><Relationship Id="rId9" Type="http://schemas.openxmlformats.org/officeDocument/2006/relationships/hyperlink" Target="https://www.gavilan.edu/jobs/salary/docs/Faculty-Salary-24-25.pdf" TargetMode="External"/><Relationship Id="rId180" Type="http://schemas.openxmlformats.org/officeDocument/2006/relationships/hyperlink" Target="https://www.salary.com/research/cost-of-living/compare/fresno-ca/monterey-ca" TargetMode="External"/><Relationship Id="rId210" Type="http://schemas.openxmlformats.org/officeDocument/2006/relationships/vmlDrawing" Target="../drawings/vmlDrawing1.vml"/><Relationship Id="rId215" Type="http://schemas.openxmlformats.org/officeDocument/2006/relationships/comments" Target="../comments1.xml"/><Relationship Id="rId26" Type="http://schemas.openxmlformats.org/officeDocument/2006/relationships/hyperlink" Target="https://www.scccd.edu/_uploaded-files/documents/2024-25-salary-schedule-a-1.07-cola.pdf" TargetMode="External"/><Relationship Id="rId47" Type="http://schemas.openxmlformats.org/officeDocument/2006/relationships/hyperlink" Target="https://www.taftcollege.edu/faculty-staff/resources/_files/docs/2023-26%20Faculty%20CBA%20FINAL.pdf" TargetMode="External"/><Relationship Id="rId68" Type="http://schemas.openxmlformats.org/officeDocument/2006/relationships/hyperlink" Target="https://www.scccd.edu/_uploaded-files/documents/scccd-scft-agreement-2022-2025-05.9.23-accessible-copy.pdf" TargetMode="External"/><Relationship Id="rId89" Type="http://schemas.openxmlformats.org/officeDocument/2006/relationships/hyperlink" Target="https://www.cuesta.edu/about/documents/hr_docs/CCFT_COLLECTIVE_BARGAINING_AGREEMENT_2023-2025.pdf" TargetMode="External"/><Relationship Id="rId112" Type="http://schemas.openxmlformats.org/officeDocument/2006/relationships/hyperlink" Target="https://www.bestplaces.net/cost_of_living/city/california/sacramento" TargetMode="External"/><Relationship Id="rId133" Type="http://schemas.openxmlformats.org/officeDocument/2006/relationships/hyperlink" Target="https://www.hancockcollege.edu/hr/documents/Final%20Faculty%20CBA%202024-2027.pdf" TargetMode="External"/><Relationship Id="rId154" Type="http://schemas.openxmlformats.org/officeDocument/2006/relationships/hyperlink" Target="https://www.salary.com/research/cost-of-living/compare/visalia-ca/fresno-ca" TargetMode="External"/><Relationship Id="rId175" Type="http://schemas.openxmlformats.org/officeDocument/2006/relationships/hyperlink" Target="https://www.scccd.edu/_uploaded-files/documents/scccd-scft-agreement-2022-2025-05.9.23-accessible-copy.pdf" TargetMode="External"/><Relationship Id="rId196" Type="http://schemas.openxmlformats.org/officeDocument/2006/relationships/hyperlink" Target="https://www.salary.com/research/cost-of-living/compare/fresno-ca/salinas-ca" TargetMode="External"/><Relationship Id="rId200" Type="http://schemas.openxmlformats.org/officeDocument/2006/relationships/hyperlink" Target="https://www.salary.com/research/cost-of-living/compare/fresno-ca/gilroy-ca" TargetMode="External"/><Relationship Id="rId16" Type="http://schemas.openxmlformats.org/officeDocument/2006/relationships/hyperlink" Target="https://www.mccd.edu/wp-content/uploads/2024/06/mcfa-2024-2027-agreement-final-signed-website-2.pdf" TargetMode="External"/><Relationship Id="rId37" Type="http://schemas.openxmlformats.org/officeDocument/2006/relationships/hyperlink" Target="https://www.hartnell.edu/hr/2024-25_hcfa_ft_salary_schedule.pdf" TargetMode="External"/><Relationship Id="rId58" Type="http://schemas.openxmlformats.org/officeDocument/2006/relationships/hyperlink" Target="https://www.taftcollege.edu/faculty-staff/resources/_files/docs/2023-26%20Faculty%20CBA%20FINAL.pdf" TargetMode="External"/><Relationship Id="rId79" Type="http://schemas.openxmlformats.org/officeDocument/2006/relationships/hyperlink" Target="https://drive.google.com/file/d/1bf8rRx3DxkG0Cpm3ps8VUd6PjQT3Jiyz/view" TargetMode="External"/><Relationship Id="rId102" Type="http://schemas.openxmlformats.org/officeDocument/2006/relationships/hyperlink" Target="https://www.taftcollege.edu/faculty-staff/resources/_files/docs/2023-26%20Faculty%20CBA%20FINAL.pdf" TargetMode="External"/><Relationship Id="rId123" Type="http://schemas.openxmlformats.org/officeDocument/2006/relationships/hyperlink" Target="https://www.4cd.edu/hr/ufcontract/Final%202022-2025%20UF%20Contract.pdf" TargetMode="External"/><Relationship Id="rId144" Type="http://schemas.openxmlformats.org/officeDocument/2006/relationships/hyperlink" Target="https://deltacollege.edu/sites/default/files/sjdcta_cba_2024-2027.pdf" TargetMode="External"/><Relationship Id="rId90" Type="http://schemas.openxmlformats.org/officeDocument/2006/relationships/hyperlink" Target="https://westhillscollege.com/district/departments/human-resources/documents/cta_contract.pdf" TargetMode="External"/><Relationship Id="rId165" Type="http://schemas.openxmlformats.org/officeDocument/2006/relationships/hyperlink" Target="https://www.salary.com/research/cost-of-living/compare/sacramento-ca/fresno-ca" TargetMode="External"/><Relationship Id="rId186" Type="http://schemas.openxmlformats.org/officeDocument/2006/relationships/hyperlink" Target="https://www.salary.com/research/cost-of-living/compare/fresno-ca/stockton-ca" TargetMode="External"/><Relationship Id="rId211" Type="http://schemas.openxmlformats.org/officeDocument/2006/relationships/table" Target="../tables/table1.xml"/><Relationship Id="rId27" Type="http://schemas.openxmlformats.org/officeDocument/2006/relationships/hyperlink" Target="https://www.bestplaces.net/cost_of_living/city/california/fresno" TargetMode="External"/><Relationship Id="rId48" Type="http://schemas.openxmlformats.org/officeDocument/2006/relationships/hyperlink" Target="https://westhillscollege.com/district/departments/human-resources/documents/cta_contract.pdf" TargetMode="External"/><Relationship Id="rId69" Type="http://schemas.openxmlformats.org/officeDocument/2006/relationships/hyperlink" Target="https://www.taftcollege.edu/faculty-staff/resources/_files/docs/2023-26%20Faculty%20CBA%20FINAL.pdf" TargetMode="External"/><Relationship Id="rId113" Type="http://schemas.openxmlformats.org/officeDocument/2006/relationships/hyperlink" Target="https://www.bestplaces.net/cost_of_living/city/california/camarillo" TargetMode="External"/><Relationship Id="rId134" Type="http://schemas.openxmlformats.org/officeDocument/2006/relationships/hyperlink" Target="https://employees.losrios.edu/shared/doc/hr/cba/lrcft/2024-2027/lrcft2023-2026.pdf" TargetMode="External"/><Relationship Id="rId80" Type="http://schemas.openxmlformats.org/officeDocument/2006/relationships/hyperlink" Target="https://westhillscollege.com/district/departments/human-resources/documents/cta_contract.pdf" TargetMode="External"/><Relationship Id="rId155" Type="http://schemas.openxmlformats.org/officeDocument/2006/relationships/hyperlink" Target="https://www.salary.com/research/cost-of-living/compare/bakersfield-ca/fresno-ca" TargetMode="External"/><Relationship Id="rId176" Type="http://schemas.openxmlformats.org/officeDocument/2006/relationships/hyperlink" Target="https://www.salary.com/research/cost-of-living/compare/fresno-ca/santa-maria-ca" TargetMode="External"/><Relationship Id="rId197" Type="http://schemas.openxmlformats.org/officeDocument/2006/relationships/hyperlink" Target="https://www.salary.com/research/cost-of-living/compare/fresno-ca/stockton-ca" TargetMode="External"/><Relationship Id="rId201" Type="http://schemas.openxmlformats.org/officeDocument/2006/relationships/hyperlink" Target="https://www.salary.com/research/cost-of-living/compare/fresno-ca/san-luis-obispo-ca" TargetMode="External"/><Relationship Id="rId17" Type="http://schemas.openxmlformats.org/officeDocument/2006/relationships/hyperlink" Target="https://www.mccd.edu/wp-content/uploads/2025/07/ft-faculty-2025.2026-salary-schedule-w-2-percent-eff-07.01.25-web.pdf" TargetMode="External"/><Relationship Id="rId38" Type="http://schemas.openxmlformats.org/officeDocument/2006/relationships/hyperlink" Target="https://drive.google.com/file/d/1bf8rRx3DxkG0Cpm3ps8VUd6PjQT3Jiyz/view" TargetMode="External"/><Relationship Id="rId59" Type="http://schemas.openxmlformats.org/officeDocument/2006/relationships/hyperlink" Target="https://westhillscollege.com/district/departments/human-resources/documents/cta_contract.pdf" TargetMode="External"/><Relationship Id="rId103" Type="http://schemas.openxmlformats.org/officeDocument/2006/relationships/hyperlink" Target="https://westhillscollege.com/district/departments/human-resources/documents/cta_contract.pdf" TargetMode="External"/><Relationship Id="rId124" Type="http://schemas.openxmlformats.org/officeDocument/2006/relationships/hyperlink" Target="https://www.4cd.edu/hr/ufcontract/Final%202022-2025%20UF%20Contract.pdf" TargetMode="External"/><Relationship Id="rId70" Type="http://schemas.openxmlformats.org/officeDocument/2006/relationships/hyperlink" Target="https://westhillscollege.com/district/departments/human-resources/documents/cta_contract.pdf" TargetMode="External"/><Relationship Id="rId91" Type="http://schemas.openxmlformats.org/officeDocument/2006/relationships/hyperlink" Target="https://www.hartnell.edu/hr/hcfa_cba_2022-2025.pdf" TargetMode="External"/><Relationship Id="rId145" Type="http://schemas.openxmlformats.org/officeDocument/2006/relationships/hyperlink" Target="https://deltacollege.edu/sites/default/files/sjdcta_cba_2024-2027.pdf" TargetMode="External"/><Relationship Id="rId166" Type="http://schemas.openxmlformats.org/officeDocument/2006/relationships/hyperlink" Target="https://www.salary.com/research/cost-of-living/compare/modesto-ca/fresno-ca" TargetMode="External"/><Relationship Id="rId187" Type="http://schemas.openxmlformats.org/officeDocument/2006/relationships/hyperlink" Target="https://www.salary.com/research/cost-of-living/compare/fresno-ca/salinas-ca" TargetMode="External"/><Relationship Id="rId1" Type="http://schemas.openxmlformats.org/officeDocument/2006/relationships/printerSettings" Target="../printerSettings/printerSettings1.bin"/><Relationship Id="rId212" Type="http://schemas.openxmlformats.org/officeDocument/2006/relationships/table" Target="../tables/table2.xml"/><Relationship Id="rId28" Type="http://schemas.openxmlformats.org/officeDocument/2006/relationships/hyperlink" Target="https://www.taftcollege.edu/faculty-staff/resources/_files/docs/2023-26%20Faculty%20CBA%20FINAL.pdf" TargetMode="External"/><Relationship Id="rId49" Type="http://schemas.openxmlformats.org/officeDocument/2006/relationships/hyperlink" Target="https://www.yosemite.edu/hr/employeeforms/contracts_handbooks/yfa_collective_bargaining_agreement_2023_-_2026.pdf" TargetMode="External"/><Relationship Id="rId114" Type="http://schemas.openxmlformats.org/officeDocument/2006/relationships/hyperlink" Target="https://employees.losrios.edu/shared/doc/hr/cba/lrcft/2024-2027/lrcft2023-2026.pdf" TargetMode="External"/><Relationship Id="rId60" Type="http://schemas.openxmlformats.org/officeDocument/2006/relationships/hyperlink" Target="https://www.yosemite.edu/hr/employeeforms/contracts_handbooks/yfa_collective_bargaining_agreement_2023_-_2026.pdf" TargetMode="External"/><Relationship Id="rId81" Type="http://schemas.openxmlformats.org/officeDocument/2006/relationships/hyperlink" Target="https://drive.google.com/file/d/1TiCBNJXCz78mQDg0QFYWPd3Qg7388sOI/view" TargetMode="External"/><Relationship Id="rId135" Type="http://schemas.openxmlformats.org/officeDocument/2006/relationships/hyperlink" Target="https://www.vcccd.edu/sites/default/files/media/pdf_document/2023/2022-2025%20AFT%20-%20VCCCD%20Contract.pdf" TargetMode="External"/><Relationship Id="rId156" Type="http://schemas.openxmlformats.org/officeDocument/2006/relationships/hyperlink" Target="https://www.salary.com/research/cost-of-living/compare/taft-ca/fresno-ca" TargetMode="External"/><Relationship Id="rId177" Type="http://schemas.openxmlformats.org/officeDocument/2006/relationships/hyperlink" Target="https://www.salary.com/research/cost-of-living/compare/fresno-ca/martinez-ca" TargetMode="External"/><Relationship Id="rId198" Type="http://schemas.openxmlformats.org/officeDocument/2006/relationships/hyperlink" Target="https://www.salary.com/research/cost-of-living/compare/fresno-ca/merced-ca" TargetMode="External"/><Relationship Id="rId202" Type="http://schemas.openxmlformats.org/officeDocument/2006/relationships/hyperlink" Target="https://www.salary.com/research/cost-of-living/compare/fresno-ca/camarillo-ca" TargetMode="External"/><Relationship Id="rId18" Type="http://schemas.openxmlformats.org/officeDocument/2006/relationships/hyperlink" Target="https://www.bestplaces.net/cost_of_living/city/california/merced" TargetMode="External"/><Relationship Id="rId39" Type="http://schemas.openxmlformats.org/officeDocument/2006/relationships/hyperlink" Target="https://drive.google.com/file/d/1bf8rRx3DxkG0Cpm3ps8VUd6PjQT3Jiyz/view" TargetMode="External"/><Relationship Id="rId50" Type="http://schemas.openxmlformats.org/officeDocument/2006/relationships/hyperlink" Target="https://drive.google.com/file/d/1bf8rRx3DxkG0Cpm3ps8VUd6PjQT3Jiyz/view" TargetMode="External"/><Relationship Id="rId104" Type="http://schemas.openxmlformats.org/officeDocument/2006/relationships/hyperlink" Target="https://www.yosemite.edu/hr/employeeforms/contracts_handbooks/yfa_collective_bargaining_agreement_2023_-_2026.pdf" TargetMode="External"/><Relationship Id="rId125" Type="http://schemas.openxmlformats.org/officeDocument/2006/relationships/hyperlink" Target="https://www.hancockcollege.edu/hr/documents/Final%20Faculty%20CBA%202024-2027.pdf" TargetMode="External"/><Relationship Id="rId146" Type="http://schemas.openxmlformats.org/officeDocument/2006/relationships/hyperlink" Target="https://www.hancockcollege.edu/hr/documents/Final%20Faculty%20CBA%202024-2027.pdf" TargetMode="External"/><Relationship Id="rId167" Type="http://schemas.openxmlformats.org/officeDocument/2006/relationships/hyperlink" Target="https://www.salary.com/research/cost-of-living/compare/martinez-ca/fresno-ca" TargetMode="External"/><Relationship Id="rId188" Type="http://schemas.openxmlformats.org/officeDocument/2006/relationships/hyperlink" Target="https://www.salary.com/research/cost-of-living/compare/fresno-ca/taft-ca" TargetMode="External"/><Relationship Id="rId71" Type="http://schemas.openxmlformats.org/officeDocument/2006/relationships/hyperlink" Target="https://www.yosemite.edu/hr/employeeforms/contracts_handbooks/yfa_collective_bargaining_agreement_2023_-_2026.pdf" TargetMode="External"/><Relationship Id="rId92" Type="http://schemas.openxmlformats.org/officeDocument/2006/relationships/hyperlink" Target="https://www.mccd.edu/wp-content/uploads/2024/06/mcfa-2024-2027-agreement-final-signed-website-2.pdf" TargetMode="External"/><Relationship Id="rId213" Type="http://schemas.openxmlformats.org/officeDocument/2006/relationships/table" Target="../tables/table3.xml"/><Relationship Id="rId2" Type="http://schemas.openxmlformats.org/officeDocument/2006/relationships/hyperlink" Target="https://drive.google.com/file/d/1bf8rRx3DxkG0Cpm3ps8VUd6PjQT3Jiyz/view" TargetMode="External"/><Relationship Id="rId29" Type="http://schemas.openxmlformats.org/officeDocument/2006/relationships/hyperlink" Target="https://www.taftcollege.edu/about/offices-departments/human-resources/_files/docs/2025-26%202.39%20Faculty%20Salary%20Schedule.pdf" TargetMode="External"/><Relationship Id="rId40" Type="http://schemas.openxmlformats.org/officeDocument/2006/relationships/hyperlink" Target="https://www.gavilan.edu/jobs/docs/FY-24-25-GCFA-COLLECTIVE-BARGAINING-AGREEMENT-Final.pdf" TargetMode="External"/><Relationship Id="rId115" Type="http://schemas.openxmlformats.org/officeDocument/2006/relationships/hyperlink" Target="https://www.hancockcollege.edu/hr/documents/Final%20Faculty%20CBA%202024-2027.pdf" TargetMode="External"/><Relationship Id="rId136" Type="http://schemas.openxmlformats.org/officeDocument/2006/relationships/hyperlink" Target="https://www.4cd.edu/hr/ufcontract/Final%202022-2025%20UF%20Contract.pdf" TargetMode="External"/><Relationship Id="rId157" Type="http://schemas.openxmlformats.org/officeDocument/2006/relationships/hyperlink" Target="https://www.salary.com/research/cost-of-living/compare/salinas-ca/fresno-ca" TargetMode="External"/><Relationship Id="rId178" Type="http://schemas.openxmlformats.org/officeDocument/2006/relationships/hyperlink" Target="https://www.salary.com/research/cost-of-living/compare/fresno-ca/modesto-ca" TargetMode="External"/><Relationship Id="rId61" Type="http://schemas.openxmlformats.org/officeDocument/2006/relationships/hyperlink" Target="https://drive.google.com/file/d/1bf8rRx3DxkG0Cpm3ps8VUd6PjQT3Jiyz/view" TargetMode="External"/><Relationship Id="rId82" Type="http://schemas.openxmlformats.org/officeDocument/2006/relationships/hyperlink" Target="https://www.mccd.edu/wp-content/uploads/2024/06/mcfa-2024-2027-agreement-final-signed-website-2.pdf" TargetMode="External"/><Relationship Id="rId199" Type="http://schemas.openxmlformats.org/officeDocument/2006/relationships/hyperlink" Target="https://www.salary.com/research/cost-of-living/compare/fresno-ca/aptos-ca" TargetMode="External"/><Relationship Id="rId203" Type="http://schemas.openxmlformats.org/officeDocument/2006/relationships/hyperlink" Target="https://www.salary.com/research/cost-of-living/compare/fresno-ca/monterey-ca" TargetMode="External"/></Relationships>
</file>

<file path=xl/worksheets/_rels/sheet10.xml.rels><?xml version="1.0" encoding="UTF-8" standalone="yes"?>
<Relationships xmlns="http://schemas.openxmlformats.org/package/2006/relationships"><Relationship Id="rId8" Type="http://schemas.openxmlformats.org/officeDocument/2006/relationships/hyperlink" Target="https://www.cuesta.edu/about/documents/hr_docs/CCFT_COLLECTIVE_BARGAINING_AGREEMENT_2023-2025.pdf" TargetMode="External"/><Relationship Id="rId13" Type="http://schemas.openxmlformats.org/officeDocument/2006/relationships/hyperlink" Target="https://www.hancockcollege.edu/hr/documents/Final%20Faculty%20CBA%202024-2027.pdf" TargetMode="External"/><Relationship Id="rId18" Type="http://schemas.openxmlformats.org/officeDocument/2006/relationships/hyperlink" Target="https://www.scccd.edu/_uploaded-files/documents/scccd-scft-agreement-2022-2025-05.9.23-accessible-copy.pdf" TargetMode="External"/><Relationship Id="rId3" Type="http://schemas.openxmlformats.org/officeDocument/2006/relationships/hyperlink" Target="https://www.gavilan.edu/jobs/docs/FY-24-25-GCFA-COLLECTIVE-BARGAINING-AGREEMENT-Final.pdf" TargetMode="External"/><Relationship Id="rId21" Type="http://schemas.openxmlformats.org/officeDocument/2006/relationships/vmlDrawing" Target="../drawings/vmlDrawing4.vml"/><Relationship Id="rId7" Type="http://schemas.openxmlformats.org/officeDocument/2006/relationships/hyperlink" Target="https://drive.google.com/file/d/1TiCBNJXCz78mQDg0QFYWPd3Qg7388sOI/view" TargetMode="External"/><Relationship Id="rId12" Type="http://schemas.openxmlformats.org/officeDocument/2006/relationships/hyperlink" Target="https://www.yosemite.edu/hr/employeeforms/contracts_handbooks/yfa_collective_bargaining_agreement_2023_-_2026.pdf" TargetMode="External"/><Relationship Id="rId17" Type="http://schemas.openxmlformats.org/officeDocument/2006/relationships/hyperlink" Target="https://deltacollege.edu/sites/default/files/sjdcta_cba_2024-2027.pdf" TargetMode="External"/><Relationship Id="rId2" Type="http://schemas.openxmlformats.org/officeDocument/2006/relationships/hyperlink" Target="https://www.cos.edu/en-us/Documents/COSTA%20Master%20Agreement%20(2024-2027).pdf" TargetMode="External"/><Relationship Id="rId16" Type="http://schemas.openxmlformats.org/officeDocument/2006/relationships/hyperlink" Target="https://www.4cd.edu/hr/ufcontract/Final%202022-2025%20UF%20Contract.pdf" TargetMode="External"/><Relationship Id="rId20" Type="http://schemas.openxmlformats.org/officeDocument/2006/relationships/drawing" Target="../drawings/drawing10.xml"/><Relationship Id="rId1" Type="http://schemas.openxmlformats.org/officeDocument/2006/relationships/hyperlink" Target="https://drive.google.com/file/d/1bf8rRx3DxkG0Cpm3ps8VUd6PjQT3Jiyz/view" TargetMode="External"/><Relationship Id="rId6" Type="http://schemas.openxmlformats.org/officeDocument/2006/relationships/hyperlink" Target="https://www.mccd.edu/wp-content/uploads/2024/06/mcfa-2024-2027-agreement-final-signed-website-2.pdf" TargetMode="External"/><Relationship Id="rId11" Type="http://schemas.openxmlformats.org/officeDocument/2006/relationships/hyperlink" Target="https://westhillscollege.com/district/departments/human-resources/documents/cta_contract.pdf" TargetMode="External"/><Relationship Id="rId5" Type="http://schemas.openxmlformats.org/officeDocument/2006/relationships/hyperlink" Target="https://www.kccd.edu/human-resources/_documents/contracts/faculty/FINAL%20KCCD%20CCA%20Contract%20%202023-2026%20CBA%20-%20revised%2012.13.23.pdf" TargetMode="External"/><Relationship Id="rId15" Type="http://schemas.openxmlformats.org/officeDocument/2006/relationships/hyperlink" Target="https://employees.losrios.edu/shared/doc/hr/cba/lrcft/2024-2027/lrcft2023-2026.pdf" TargetMode="External"/><Relationship Id="rId23" Type="http://schemas.openxmlformats.org/officeDocument/2006/relationships/comments" Target="../comments4.xml"/><Relationship Id="rId10" Type="http://schemas.openxmlformats.org/officeDocument/2006/relationships/hyperlink" Target="https://www.taftcollege.edu/faculty-staff/resources/_files/docs/2023-26%20Faculty%20CBA%20FINAL.pdf" TargetMode="External"/><Relationship Id="rId19" Type="http://schemas.openxmlformats.org/officeDocument/2006/relationships/printerSettings" Target="../printerSettings/printerSettings11.bin"/><Relationship Id="rId4" Type="http://schemas.openxmlformats.org/officeDocument/2006/relationships/hyperlink" Target="https://www.hartnell.edu/hr/hcfa_cba_2022-2025.pdf" TargetMode="External"/><Relationship Id="rId9" Type="http://schemas.openxmlformats.org/officeDocument/2006/relationships/hyperlink" Target="https://www.scccd.edu/_uploaded-files/documents/scccd-scft-agreement-2022-2025-05.9.23-accessible-copy.pdf" TargetMode="External"/><Relationship Id="rId14" Type="http://schemas.openxmlformats.org/officeDocument/2006/relationships/hyperlink" Target="https://www.vcccd.edu/sites/default/files/media/pdf_document/2023/2022-2025%20AFT%20-%20VCCCD%20Contract.pdf" TargetMode="External"/><Relationship Id="rId22" Type="http://schemas.openxmlformats.org/officeDocument/2006/relationships/table" Target="../tables/table12.xml"/></Relationships>
</file>

<file path=xl/worksheets/_rels/sheet11.xml.rels><?xml version="1.0" encoding="UTF-8" standalone="yes"?>
<Relationships xmlns="http://schemas.openxmlformats.org/package/2006/relationships"><Relationship Id="rId13" Type="http://schemas.openxmlformats.org/officeDocument/2006/relationships/hyperlink" Target="https://www.salary.com/research/cost-of-living/compare/martinez-ca/fresno-ca" TargetMode="External"/><Relationship Id="rId18" Type="http://schemas.openxmlformats.org/officeDocument/2006/relationships/hyperlink" Target="https://www.cos.edu/en-us/Documents/COSTA%20Master%20Agreement%20(2024-2027).pdf" TargetMode="External"/><Relationship Id="rId26" Type="http://schemas.openxmlformats.org/officeDocument/2006/relationships/hyperlink" Target="https://www.taftcollege.edu/faculty-staff/resources/_files/docs/2023-26%20Faculty%20CBA%20FINAL.pdf" TargetMode="External"/><Relationship Id="rId39" Type="http://schemas.openxmlformats.org/officeDocument/2006/relationships/comments" Target="../comments5.xml"/><Relationship Id="rId21" Type="http://schemas.openxmlformats.org/officeDocument/2006/relationships/hyperlink" Target="https://www.kccd.edu/human-resources/_documents/contracts/faculty/FINAL%20KCCD%20CCA%20Contract%20%202023-2026%20CBA%20-%20revised%2012.13.23.pdf" TargetMode="External"/><Relationship Id="rId34" Type="http://schemas.openxmlformats.org/officeDocument/2006/relationships/hyperlink" Target="https://www.scccd.edu/_uploaded-files/documents/scccd-scft-agreement-2022-2025-05.9.23-accessible-copy.pdf" TargetMode="External"/><Relationship Id="rId7" Type="http://schemas.openxmlformats.org/officeDocument/2006/relationships/hyperlink" Target="https://www.salary.com/research/cost-of-living/compare/monterey-ca/fresno-ca" TargetMode="External"/><Relationship Id="rId12" Type="http://schemas.openxmlformats.org/officeDocument/2006/relationships/hyperlink" Target="https://www.salary.com/research/cost-of-living/compare/santa-maria-ca/fresno-ca" TargetMode="External"/><Relationship Id="rId17" Type="http://schemas.openxmlformats.org/officeDocument/2006/relationships/hyperlink" Target="https://drive.google.com/file/d/1bf8rRx3DxkG0Cpm3ps8VUd6PjQT3Jiyz/view" TargetMode="External"/><Relationship Id="rId25" Type="http://schemas.openxmlformats.org/officeDocument/2006/relationships/hyperlink" Target="https://www.scccd.edu/_uploaded-files/documents/scccd-scft-agreement-2022-2025-05.9.23-accessible-copy.pdf" TargetMode="External"/><Relationship Id="rId33" Type="http://schemas.openxmlformats.org/officeDocument/2006/relationships/hyperlink" Target="https://deltacollege.edu/sites/default/files/sjdcta_cba_2024-2027.pdf" TargetMode="External"/><Relationship Id="rId38" Type="http://schemas.openxmlformats.org/officeDocument/2006/relationships/table" Target="../tables/table13.xml"/><Relationship Id="rId2" Type="http://schemas.openxmlformats.org/officeDocument/2006/relationships/hyperlink" Target="https://www.salary.com/research/cost-of-living/compare/merced-ca/fresno-ca" TargetMode="External"/><Relationship Id="rId16" Type="http://schemas.openxmlformats.org/officeDocument/2006/relationships/hyperlink" Target="https://www.salary.com/research/cost-of-living/compare/gilroy-ca/fresno-ca" TargetMode="External"/><Relationship Id="rId20" Type="http://schemas.openxmlformats.org/officeDocument/2006/relationships/hyperlink" Target="https://www.hartnell.edu/hr/hcfa_cba_2022-2025.pdf" TargetMode="External"/><Relationship Id="rId29" Type="http://schemas.openxmlformats.org/officeDocument/2006/relationships/hyperlink" Target="https://www.hancockcollege.edu/hr/documents/Final%20Faculty%20CBA%202024-2027.pdf" TargetMode="External"/><Relationship Id="rId1" Type="http://schemas.openxmlformats.org/officeDocument/2006/relationships/hyperlink" Target="https://www.salary.com/research/cost-of-living/compare/salinas-ca/fresno-ca" TargetMode="External"/><Relationship Id="rId6" Type="http://schemas.openxmlformats.org/officeDocument/2006/relationships/hyperlink" Target="https://www.salary.com/research/cost-of-living/compare/coalinga-ca/fresno-ca" TargetMode="External"/><Relationship Id="rId11" Type="http://schemas.openxmlformats.org/officeDocument/2006/relationships/hyperlink" Target="https://www.salary.com/research/cost-of-living/compare/sacramento-ca/fresno-ca" TargetMode="External"/><Relationship Id="rId24" Type="http://schemas.openxmlformats.org/officeDocument/2006/relationships/hyperlink" Target="https://www.cuesta.edu/about/documents/hr_docs/CCFT_COLLECTIVE_BARGAINING_AGREEMENT_2023-2025.pdf" TargetMode="External"/><Relationship Id="rId32" Type="http://schemas.openxmlformats.org/officeDocument/2006/relationships/hyperlink" Target="https://www.4cd.edu/hr/ufcontract/Final%202022-2025%20UF%20Contract.pdf" TargetMode="External"/><Relationship Id="rId37" Type="http://schemas.openxmlformats.org/officeDocument/2006/relationships/vmlDrawing" Target="../drawings/vmlDrawing5.vml"/><Relationship Id="rId5" Type="http://schemas.openxmlformats.org/officeDocument/2006/relationships/hyperlink" Target="https://www.salary.com/research/cost-of-living/compare/bakersfield-ca/fresno-ca" TargetMode="External"/><Relationship Id="rId15" Type="http://schemas.openxmlformats.org/officeDocument/2006/relationships/hyperlink" Target="https://www.salary.com/research/cost-of-living/compare/camarillo-ca/fresno-ca" TargetMode="External"/><Relationship Id="rId23" Type="http://schemas.openxmlformats.org/officeDocument/2006/relationships/hyperlink" Target="https://drive.google.com/file/d/1TiCBNJXCz78mQDg0QFYWPd3Qg7388sOI/view" TargetMode="External"/><Relationship Id="rId28" Type="http://schemas.openxmlformats.org/officeDocument/2006/relationships/hyperlink" Target="https://www.yosemite.edu/hr/employeeforms/contracts_handbooks/yfa_collective_bargaining_agreement_2023_-_2026.pdf" TargetMode="External"/><Relationship Id="rId36" Type="http://schemas.openxmlformats.org/officeDocument/2006/relationships/drawing" Target="../drawings/drawing11.xml"/><Relationship Id="rId10" Type="http://schemas.openxmlformats.org/officeDocument/2006/relationships/hyperlink" Target="https://www.salary.com/research/cost-of-living/compare/modesto-ca/fresno-ca" TargetMode="External"/><Relationship Id="rId19" Type="http://schemas.openxmlformats.org/officeDocument/2006/relationships/hyperlink" Target="https://www.gavilan.edu/jobs/docs/FY-24-25-GCFA-COLLECTIVE-BARGAINING-AGREEMENT-Final.pdf" TargetMode="External"/><Relationship Id="rId31" Type="http://schemas.openxmlformats.org/officeDocument/2006/relationships/hyperlink" Target="https://employees.losrios.edu/shared/doc/hr/cba/lrcft/2024-2027/lrcft2023-2026.pdf" TargetMode="External"/><Relationship Id="rId4" Type="http://schemas.openxmlformats.org/officeDocument/2006/relationships/hyperlink" Target="https://www.salary.com/research/cost-of-living/compare/visalia-ca/fresno-ca" TargetMode="External"/><Relationship Id="rId9" Type="http://schemas.openxmlformats.org/officeDocument/2006/relationships/hyperlink" Target="https://www.salary.com/research/cost-of-living/compare/san-luis-obispo-ca/fresno-ca" TargetMode="External"/><Relationship Id="rId14" Type="http://schemas.openxmlformats.org/officeDocument/2006/relationships/hyperlink" Target="https://www.salary.com/research/cost-of-living/compare/stockton-ca/fresno-ca" TargetMode="External"/><Relationship Id="rId22" Type="http://schemas.openxmlformats.org/officeDocument/2006/relationships/hyperlink" Target="https://www.mccd.edu/wp-content/uploads/2024/06/mcfa-2024-2027-agreement-final-signed-website-2.pdf" TargetMode="External"/><Relationship Id="rId27" Type="http://schemas.openxmlformats.org/officeDocument/2006/relationships/hyperlink" Target="https://westhillscollege.com/district/departments/human-resources/documents/cta_contract.pdf" TargetMode="External"/><Relationship Id="rId30" Type="http://schemas.openxmlformats.org/officeDocument/2006/relationships/hyperlink" Target="https://www.vcccd.edu/sites/default/files/media/pdf_document/2023/2022-2025%20AFT%20-%20VCCCD%20Contract.pdf" TargetMode="External"/><Relationship Id="rId35" Type="http://schemas.openxmlformats.org/officeDocument/2006/relationships/printerSettings" Target="../printerSettings/printerSettings12.bin"/><Relationship Id="rId8" Type="http://schemas.openxmlformats.org/officeDocument/2006/relationships/hyperlink" Target="https://www.salary.com/research/cost-of-living/compare/taft-ca/fresno-ca" TargetMode="External"/><Relationship Id="rId3" Type="http://schemas.openxmlformats.org/officeDocument/2006/relationships/hyperlink" Target="https://www.salary.com/research/cost-of-living/compare/aptos-ca/fresno-ca" TargetMode="External"/></Relationships>
</file>

<file path=xl/worksheets/_rels/sheet12.xml.rels><?xml version="1.0" encoding="UTF-8" standalone="yes"?>
<Relationships xmlns="http://schemas.openxmlformats.org/package/2006/relationships"><Relationship Id="rId13" Type="http://schemas.openxmlformats.org/officeDocument/2006/relationships/hyperlink" Target="https://www.salary.com/research/cost-of-living/compare/fresno-ca/santa-maria-ca" TargetMode="External"/><Relationship Id="rId18" Type="http://schemas.openxmlformats.org/officeDocument/2006/relationships/hyperlink" Target="https://www.salary.com/research/cost-of-living/compare/fresno-ca/salinas-ca" TargetMode="External"/><Relationship Id="rId26" Type="http://schemas.openxmlformats.org/officeDocument/2006/relationships/hyperlink" Target="https://www.salary.com/research/cost-of-living/compare/fresno-ca/san-luis-obispo-ca" TargetMode="External"/><Relationship Id="rId39" Type="http://schemas.openxmlformats.org/officeDocument/2006/relationships/hyperlink" Target="https://drive.google.com/file/d/1TiCBNJXCz78mQDg0QFYWPd3Qg7388sOI/view" TargetMode="External"/><Relationship Id="rId21" Type="http://schemas.openxmlformats.org/officeDocument/2006/relationships/hyperlink" Target="https://www.salary.com/research/cost-of-living/compare/fresno-ca/bakersfield-ca" TargetMode="External"/><Relationship Id="rId34" Type="http://schemas.openxmlformats.org/officeDocument/2006/relationships/hyperlink" Target="https://www.cos.edu/en-us/Documents/COSTA%20Master%20Agreement%20(2024-2027).pdf" TargetMode="External"/><Relationship Id="rId42" Type="http://schemas.openxmlformats.org/officeDocument/2006/relationships/hyperlink" Target="https://www.taftcollege.edu/faculty-staff/resources/_files/docs/2023-26%20Faculty%20CBA%20FINAL.pdf" TargetMode="External"/><Relationship Id="rId47" Type="http://schemas.openxmlformats.org/officeDocument/2006/relationships/hyperlink" Target="https://employees.losrios.edu/shared/doc/hr/cba/lrcft/2024-2027/lrcft2023-2026.pdf" TargetMode="External"/><Relationship Id="rId50" Type="http://schemas.openxmlformats.org/officeDocument/2006/relationships/hyperlink" Target="https://www.scccd.edu/_uploaded-files/documents/scccd-scft-agreement-2022-2025-05.9.23-accessible-copy.pdf" TargetMode="External"/><Relationship Id="rId55" Type="http://schemas.openxmlformats.org/officeDocument/2006/relationships/comments" Target="../comments6.xml"/><Relationship Id="rId7" Type="http://schemas.openxmlformats.org/officeDocument/2006/relationships/hyperlink" Target="https://www.salary.com/research/cost-of-living/compare/fresno-ca/monterey-ca" TargetMode="External"/><Relationship Id="rId2" Type="http://schemas.openxmlformats.org/officeDocument/2006/relationships/hyperlink" Target="https://www.salary.com/research/cost-of-living/compare/fresno-ca/salinas-ca" TargetMode="External"/><Relationship Id="rId16" Type="http://schemas.openxmlformats.org/officeDocument/2006/relationships/hyperlink" Target="https://www.salary.com/research/cost-of-living/compare/fresno-ca/martinez-ca" TargetMode="External"/><Relationship Id="rId29" Type="http://schemas.openxmlformats.org/officeDocument/2006/relationships/hyperlink" Target="https://www.salary.com/research/cost-of-living/compare/fresno-ca/santa-maria-ca" TargetMode="External"/><Relationship Id="rId11" Type="http://schemas.openxmlformats.org/officeDocument/2006/relationships/hyperlink" Target="https://www.salary.com/research/cost-of-living/compare/fresno-ca/modesto-ca" TargetMode="External"/><Relationship Id="rId24" Type="http://schemas.openxmlformats.org/officeDocument/2006/relationships/hyperlink" Target="https://www.salary.com/research/cost-of-living/compare/fresno-ca/gilroy-ca" TargetMode="External"/><Relationship Id="rId32" Type="http://schemas.openxmlformats.org/officeDocument/2006/relationships/hyperlink" Target="https://www.salary.com/research/cost-of-living/compare/fresno-ca/martinez-ca" TargetMode="External"/><Relationship Id="rId37" Type="http://schemas.openxmlformats.org/officeDocument/2006/relationships/hyperlink" Target="https://www.kccd.edu/human-resources/_documents/contracts/faculty/FINAL%20KCCD%20CCA%20Contract%20%202023-2026%20CBA%20-%20revised%2012.13.23.pdf" TargetMode="External"/><Relationship Id="rId40" Type="http://schemas.openxmlformats.org/officeDocument/2006/relationships/hyperlink" Target="https://www.cuesta.edu/about/documents/hr_docs/CCFT_COLLECTIVE_BARGAINING_AGREEMENT_2023-2025.pdf" TargetMode="External"/><Relationship Id="rId45" Type="http://schemas.openxmlformats.org/officeDocument/2006/relationships/hyperlink" Target="https://www.hancockcollege.edu/hr/documents/Final%20Faculty%20CBA%202024-2027.pdf" TargetMode="External"/><Relationship Id="rId53" Type="http://schemas.openxmlformats.org/officeDocument/2006/relationships/vmlDrawing" Target="../drawings/vmlDrawing6.vml"/><Relationship Id="rId5" Type="http://schemas.openxmlformats.org/officeDocument/2006/relationships/hyperlink" Target="https://www.salary.com/research/cost-of-living/compare/fresno-ca/bakersfield-ca" TargetMode="External"/><Relationship Id="rId10" Type="http://schemas.openxmlformats.org/officeDocument/2006/relationships/hyperlink" Target="https://www.salary.com/research/cost-of-living/compare/fresno-ca/san-luis-obispo-ca" TargetMode="External"/><Relationship Id="rId19" Type="http://schemas.openxmlformats.org/officeDocument/2006/relationships/hyperlink" Target="https://www.salary.com/research/cost-of-living/compare/fresno-ca/aptos-ca" TargetMode="External"/><Relationship Id="rId31" Type="http://schemas.openxmlformats.org/officeDocument/2006/relationships/hyperlink" Target="https://www.salary.com/research/cost-of-living/compare/fresno-ca/camarillo-ca" TargetMode="External"/><Relationship Id="rId44" Type="http://schemas.openxmlformats.org/officeDocument/2006/relationships/hyperlink" Target="https://www.yosemite.edu/hr/employeeforms/contracts_handbooks/yfa_collective_bargaining_agreement_2023_-_2026.pdf" TargetMode="External"/><Relationship Id="rId52" Type="http://schemas.openxmlformats.org/officeDocument/2006/relationships/drawing" Target="../drawings/drawing12.xml"/><Relationship Id="rId4" Type="http://schemas.openxmlformats.org/officeDocument/2006/relationships/hyperlink" Target="https://www.salary.com/research/cost-of-living/compare/fresno-ca/merced-ca" TargetMode="External"/><Relationship Id="rId9" Type="http://schemas.openxmlformats.org/officeDocument/2006/relationships/hyperlink" Target="https://www.salary.com/research/cost-of-living/compare/fresno-ca/taft-ca" TargetMode="External"/><Relationship Id="rId14" Type="http://schemas.openxmlformats.org/officeDocument/2006/relationships/hyperlink" Target="https://www.salary.com/research/cost-of-living/compare/fresno-ca/stockton-ca" TargetMode="External"/><Relationship Id="rId22" Type="http://schemas.openxmlformats.org/officeDocument/2006/relationships/hyperlink" Target="https://www.salary.com/research/cost-of-living/compare/fresno-ca/coalinga-ca" TargetMode="External"/><Relationship Id="rId27" Type="http://schemas.openxmlformats.org/officeDocument/2006/relationships/hyperlink" Target="https://www.salary.com/research/cost-of-living/compare/fresno-ca/modesto-ca" TargetMode="External"/><Relationship Id="rId30" Type="http://schemas.openxmlformats.org/officeDocument/2006/relationships/hyperlink" Target="https://www.salary.com/research/cost-of-living/compare/fresno-ca/stockton-ca" TargetMode="External"/><Relationship Id="rId35" Type="http://schemas.openxmlformats.org/officeDocument/2006/relationships/hyperlink" Target="https://www.gavilan.edu/jobs/docs/FY-24-25-GCFA-COLLECTIVE-BARGAINING-AGREEMENT-Final.pdf" TargetMode="External"/><Relationship Id="rId43" Type="http://schemas.openxmlformats.org/officeDocument/2006/relationships/hyperlink" Target="https://westhillscollege.com/district/departments/human-resources/documents/cta_contract.pdf" TargetMode="External"/><Relationship Id="rId48" Type="http://schemas.openxmlformats.org/officeDocument/2006/relationships/hyperlink" Target="https://www.4cd.edu/hr/ufcontract/Final%202022-2025%20UF%20Contract.pdf" TargetMode="External"/><Relationship Id="rId8" Type="http://schemas.openxmlformats.org/officeDocument/2006/relationships/hyperlink" Target="https://www.salary.com/research/cost-of-living/compare/fresno-ca/gilroy-ca" TargetMode="External"/><Relationship Id="rId51" Type="http://schemas.openxmlformats.org/officeDocument/2006/relationships/printerSettings" Target="../printerSettings/printerSettings13.bin"/><Relationship Id="rId3" Type="http://schemas.openxmlformats.org/officeDocument/2006/relationships/hyperlink" Target="https://www.salary.com/research/cost-of-living/compare/fresno-ca/aptos-ca" TargetMode="External"/><Relationship Id="rId12" Type="http://schemas.openxmlformats.org/officeDocument/2006/relationships/hyperlink" Target="https://www.salary.com/research/cost-of-living/compare/fresno-ca/sacramento-ca" TargetMode="External"/><Relationship Id="rId17" Type="http://schemas.openxmlformats.org/officeDocument/2006/relationships/hyperlink" Target="https://www.salary.com/research/cost-of-living/compare/fresno-ca/visalia-ca" TargetMode="External"/><Relationship Id="rId25" Type="http://schemas.openxmlformats.org/officeDocument/2006/relationships/hyperlink" Target="https://www.salary.com/research/cost-of-living/compare/fresno-ca/taft-ca" TargetMode="External"/><Relationship Id="rId33" Type="http://schemas.openxmlformats.org/officeDocument/2006/relationships/hyperlink" Target="https://drive.google.com/file/d/1bf8rRx3DxkG0Cpm3ps8VUd6PjQT3Jiyz/view" TargetMode="External"/><Relationship Id="rId38" Type="http://schemas.openxmlformats.org/officeDocument/2006/relationships/hyperlink" Target="https://www.mccd.edu/wp-content/uploads/2024/06/mcfa-2024-2027-agreement-final-signed-website-2.pdf" TargetMode="External"/><Relationship Id="rId46" Type="http://schemas.openxmlformats.org/officeDocument/2006/relationships/hyperlink" Target="https://www.vcccd.edu/sites/default/files/media/pdf_document/2023/2022-2025%20AFT%20-%20VCCCD%20Contract.pdf" TargetMode="External"/><Relationship Id="rId20" Type="http://schemas.openxmlformats.org/officeDocument/2006/relationships/hyperlink" Target="https://www.salary.com/research/cost-of-living/compare/fresno-ca/merced-ca" TargetMode="External"/><Relationship Id="rId41" Type="http://schemas.openxmlformats.org/officeDocument/2006/relationships/hyperlink" Target="https://www.scccd.edu/_uploaded-files/documents/scccd-scft-agreement-2022-2025-05.9.23-accessible-copy.pdf" TargetMode="External"/><Relationship Id="rId54" Type="http://schemas.openxmlformats.org/officeDocument/2006/relationships/table" Target="../tables/table14.xml"/><Relationship Id="rId1" Type="http://schemas.openxmlformats.org/officeDocument/2006/relationships/hyperlink" Target="https://www.salary.com/research/cost-of-living/compare/fresno-ca/visalia-ca" TargetMode="External"/><Relationship Id="rId6" Type="http://schemas.openxmlformats.org/officeDocument/2006/relationships/hyperlink" Target="https://www.salary.com/research/cost-of-living/compare/fresno-ca/coalinga-ca" TargetMode="External"/><Relationship Id="rId15" Type="http://schemas.openxmlformats.org/officeDocument/2006/relationships/hyperlink" Target="https://www.salary.com/research/cost-of-living/compare/fresno-ca/camarillo-ca" TargetMode="External"/><Relationship Id="rId23" Type="http://schemas.openxmlformats.org/officeDocument/2006/relationships/hyperlink" Target="https://www.salary.com/research/cost-of-living/compare/fresno-ca/monterey-ca" TargetMode="External"/><Relationship Id="rId28" Type="http://schemas.openxmlformats.org/officeDocument/2006/relationships/hyperlink" Target="https://www.salary.com/research/cost-of-living/compare/fresno-ca/sacramento-ca" TargetMode="External"/><Relationship Id="rId36" Type="http://schemas.openxmlformats.org/officeDocument/2006/relationships/hyperlink" Target="https://www.hartnell.edu/hr/hcfa_cba_2022-2025.pdf" TargetMode="External"/><Relationship Id="rId49" Type="http://schemas.openxmlformats.org/officeDocument/2006/relationships/hyperlink" Target="https://deltacollege.edu/sites/default/files/sjdcta_cba_2024-2027.pdf" TargetMode="External"/></Relationships>
</file>

<file path=xl/worksheets/_rels/sheet13.xml.rels><?xml version="1.0" encoding="UTF-8" standalone="yes"?>
<Relationships xmlns="http://schemas.openxmlformats.org/package/2006/relationships"><Relationship Id="rId8" Type="http://schemas.openxmlformats.org/officeDocument/2006/relationships/hyperlink" Target="http://www.paloverde.edu/hr/docs/schedules/177%20DAYS%20.%2010%20MONTH%20FACULTY%202018.2019.pdf" TargetMode="External"/><Relationship Id="rId13" Type="http://schemas.openxmlformats.org/officeDocument/2006/relationships/hyperlink" Target="https://www.msjc.edu/HumanResources/Documents/Salary%20Schedules/Full%20Time%20Faculty_Teaching_eff%207.1.17_rev%20April%202018.pdf" TargetMode="External"/><Relationship Id="rId18" Type="http://schemas.openxmlformats.org/officeDocument/2006/relationships/hyperlink" Target="https://www.bestplaces.net/cost-of-living/barstow-ca/blythe-ca/132545" TargetMode="External"/><Relationship Id="rId26" Type="http://schemas.openxmlformats.org/officeDocument/2006/relationships/printerSettings" Target="../printerSettings/printerSettings14.bin"/><Relationship Id="rId3" Type="http://schemas.openxmlformats.org/officeDocument/2006/relationships/hyperlink" Target="http://www.ltcc.edu/_resources/pdfs/human_resources/faculty1000_2018_19.pdf" TargetMode="External"/><Relationship Id="rId21" Type="http://schemas.openxmlformats.org/officeDocument/2006/relationships/hyperlink" Target="https://www.bestplaces.net/cost-of-living/susanville-ca/blythe-ca/113991" TargetMode="External"/><Relationship Id="rId7" Type="http://schemas.openxmlformats.org/officeDocument/2006/relationships/hyperlink" Target="http://www.cmccd.edu/wp-content/uploads/2018/11/ACA177-07012018.pdf" TargetMode="External"/><Relationship Id="rId12" Type="http://schemas.openxmlformats.org/officeDocument/2006/relationships/hyperlink" Target="https://www.rccd.edu/administration/humanresources/SalarySchedule/2018-19/Full_Time_Faculty_2018_19.pdf" TargetMode="External"/><Relationship Id="rId17" Type="http://schemas.openxmlformats.org/officeDocument/2006/relationships/hyperlink" Target="https://www.bestplaces.net/cost-of-living/san%20bernardino-ca/blythe-ca/137990" TargetMode="External"/><Relationship Id="rId25" Type="http://schemas.openxmlformats.org/officeDocument/2006/relationships/hyperlink" Target="https://www.bestplaces.net/cost-of-living/ukiah-ca/blythe-ca/130435" TargetMode="External"/><Relationship Id="rId2" Type="http://schemas.openxmlformats.org/officeDocument/2006/relationships/hyperlink" Target="https://campussuite-storage.s3.amazonaws.com/prod/1558523/0672826e-a84b-11e7-9779-0ae3e1d9783c/1804780/abb34cf4-904e-11e8-9b6c-0aed72579992/file/1819%20Faculty.pdf" TargetMode="External"/><Relationship Id="rId16" Type="http://schemas.openxmlformats.org/officeDocument/2006/relationships/hyperlink" Target="https://www.bestplaces.net/cost-of-living/san%20jacinto-ca/blythe-ca/140844" TargetMode="External"/><Relationship Id="rId20" Type="http://schemas.openxmlformats.org/officeDocument/2006/relationships/hyperlink" Target="https://www.bestplaces.net/cost-of-living/weed-ca/blythe-ca/120872" TargetMode="External"/><Relationship Id="rId1" Type="http://schemas.openxmlformats.org/officeDocument/2006/relationships/hyperlink" Target="https://do-prod-webteam-drupalfiles.s3-us-west-2.amazonaws.com/kccdedu/s3fs-public/page/2018-19%203.59%20inc%20175%20day%20salary%20schedule.pdf" TargetMode="External"/><Relationship Id="rId6" Type="http://schemas.openxmlformats.org/officeDocument/2006/relationships/hyperlink" Target="https://www.mendocino.edu/college/employment/salary-schedule" TargetMode="External"/><Relationship Id="rId11" Type="http://schemas.openxmlformats.org/officeDocument/2006/relationships/hyperlink" Target="http://www.sbccd.org/~/media/Files/SBCCD/District/HR%20%20Documents/Salary%20Schedules/CTA%20Corrected%20Salary%20Schedule.pdf" TargetMode="External"/><Relationship Id="rId24" Type="http://schemas.openxmlformats.org/officeDocument/2006/relationships/hyperlink" Target="https://www.bestplaces.net/cost-of-living/joshua-tree-ca/blythe-ca/126888" TargetMode="External"/><Relationship Id="rId5" Type="http://schemas.openxmlformats.org/officeDocument/2006/relationships/hyperlink" Target="http://www.barstow.edu/Pdf/Human_Resources/BCFA_Salary_Schedules.pdf" TargetMode="External"/><Relationship Id="rId15" Type="http://schemas.openxmlformats.org/officeDocument/2006/relationships/hyperlink" Target="https://www.bestplaces.net/cost-of-living/palm-desert-ca/blythe-ca/142112" TargetMode="External"/><Relationship Id="rId23" Type="http://schemas.openxmlformats.org/officeDocument/2006/relationships/hyperlink" Target="https://www.bestplaces.net/cost-of-living/riverside-ca/blythe-ca/159587" TargetMode="External"/><Relationship Id="rId10" Type="http://schemas.openxmlformats.org/officeDocument/2006/relationships/hyperlink" Target="http://www.collegeofthedesert.edu/fs/hr/Salary%20Schedules%20and%20Position/Full%20Time%20Faculty%20Salary%20Schedules%202018-2019.pdf" TargetMode="External"/><Relationship Id="rId19" Type="http://schemas.openxmlformats.org/officeDocument/2006/relationships/hyperlink" Target="https://www.bestplaces.net/cost-of-living/south-lake-tahoe-ca/blythe-ca/125392" TargetMode="External"/><Relationship Id="rId4" Type="http://schemas.openxmlformats.org/officeDocument/2006/relationships/hyperlink" Target="http://www.lassencollege.edu/about/employment/Documents/Faculty%20Salary%20Schedule.pdf" TargetMode="External"/><Relationship Id="rId9" Type="http://schemas.openxmlformats.org/officeDocument/2006/relationships/hyperlink" Target="http://www.siskiyous.edu/humanresources/salaries/documents/faculty175.pdf" TargetMode="External"/><Relationship Id="rId14" Type="http://schemas.openxmlformats.org/officeDocument/2006/relationships/hyperlink" Target="https://www.bestplaces.net/cost-of-living/bakersfield-ca/blythe-ca/143731" TargetMode="External"/><Relationship Id="rId22" Type="http://schemas.openxmlformats.org/officeDocument/2006/relationships/hyperlink" Target="https://www.bestplaces.net/cost-of-living/quincy-ca/blythe-ca/111219" TargetMode="External"/><Relationship Id="rId27"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8" Type="http://schemas.openxmlformats.org/officeDocument/2006/relationships/hyperlink" Target="http://www.paloverde.edu/hr/docs/schedules/177%20DAYS%20.%2010%20MONTH%20FACULTY%202018.2019.pdf" TargetMode="External"/><Relationship Id="rId13" Type="http://schemas.openxmlformats.org/officeDocument/2006/relationships/hyperlink" Target="https://www.msjc.edu/HumanResources/Documents/Salary%20Schedules/Full%20Time%20Faculty_Teaching_eff%207.1.17_rev%20April%202018.pdf" TargetMode="External"/><Relationship Id="rId3" Type="http://schemas.openxmlformats.org/officeDocument/2006/relationships/hyperlink" Target="http://www.ltcc.edu/_resources/pdfs/human_resources/faculty1000_2018_19.pdf" TargetMode="External"/><Relationship Id="rId7" Type="http://schemas.openxmlformats.org/officeDocument/2006/relationships/hyperlink" Target="http://www.cmccd.edu/wp-content/uploads/2018/11/ACA177-07012018.pdf" TargetMode="External"/><Relationship Id="rId12" Type="http://schemas.openxmlformats.org/officeDocument/2006/relationships/hyperlink" Target="https://www.rccd.edu/administration/humanresources/SalarySchedule/2018-19/Full_Time_Faculty_2018_19.pdf" TargetMode="External"/><Relationship Id="rId2" Type="http://schemas.openxmlformats.org/officeDocument/2006/relationships/hyperlink" Target="https://campussuite-storage.s3.amazonaws.com/prod/1558523/0672826e-a84b-11e7-9779-0ae3e1d9783c/1804780/abb34cf4-904e-11e8-9b6c-0aed72579992/file/1819%20Faculty.pdf" TargetMode="External"/><Relationship Id="rId1" Type="http://schemas.openxmlformats.org/officeDocument/2006/relationships/hyperlink" Target="https://do-prod-webteam-drupalfiles.s3-us-west-2.amazonaws.com/kccdedu/s3fs-public/page/2018-19%203.59%20inc%20175%20day%20salary%20schedule.pdf" TargetMode="External"/><Relationship Id="rId6" Type="http://schemas.openxmlformats.org/officeDocument/2006/relationships/hyperlink" Target="https://www.mendocino.edu/college/employment/salary-schedule" TargetMode="External"/><Relationship Id="rId11" Type="http://schemas.openxmlformats.org/officeDocument/2006/relationships/hyperlink" Target="http://www.sbccd.org/~/media/Files/SBCCD/District/HR%20%20Documents/Salary%20Schedules/CTA%20Corrected%20Salary%20Schedule.pdf" TargetMode="External"/><Relationship Id="rId5" Type="http://schemas.openxmlformats.org/officeDocument/2006/relationships/hyperlink" Target="http://www.barstow.edu/Pdf/Human_Resources/BCFA_Salary_Schedules.pdf" TargetMode="External"/><Relationship Id="rId15" Type="http://schemas.openxmlformats.org/officeDocument/2006/relationships/drawing" Target="../drawings/drawing14.xml"/><Relationship Id="rId10" Type="http://schemas.openxmlformats.org/officeDocument/2006/relationships/hyperlink" Target="http://www.collegeofthedesert.edu/fs/hr/Salary%20Schedules%20and%20Position/Full%20Time%20Faculty%20Salary%20Schedules%202018-2019.pdf" TargetMode="External"/><Relationship Id="rId4" Type="http://schemas.openxmlformats.org/officeDocument/2006/relationships/hyperlink" Target="http://www.lassencollege.edu/about/employment/Documents/Faculty%20Salary%20Schedule.pdf" TargetMode="External"/><Relationship Id="rId9" Type="http://schemas.openxmlformats.org/officeDocument/2006/relationships/hyperlink" Target="http://www.siskiyous.edu/humanresources/salaries/documents/faculty175.pdf" TargetMode="External"/><Relationship Id="rId14" Type="http://schemas.openxmlformats.org/officeDocument/2006/relationships/printerSettings" Target="../printerSettings/printerSettings15.bin"/></Relationships>
</file>

<file path=xl/worksheets/_rels/sheet15.xml.rels><?xml version="1.0" encoding="UTF-8" standalone="yes"?>
<Relationships xmlns="http://schemas.openxmlformats.org/package/2006/relationships"><Relationship Id="rId8" Type="http://schemas.openxmlformats.org/officeDocument/2006/relationships/hyperlink" Target="http://www.paloverde.edu/hr/docs/schedules/177%20DAYS%20.%2010%20MONTH%20FACULTY%202018.2019.pdf" TargetMode="External"/><Relationship Id="rId13" Type="http://schemas.openxmlformats.org/officeDocument/2006/relationships/hyperlink" Target="http://www.barstow.edu/Pdf/Human_Resources/BCFA_Salary_Schedules.pdf" TargetMode="External"/><Relationship Id="rId18" Type="http://schemas.openxmlformats.org/officeDocument/2006/relationships/hyperlink" Target="https://do-prod-webteam-drupalfiles.s3-us-west-2.amazonaws.com/kccdedu/s3fs-public/page/2018-19%203.59%20inc%20175%20day%20salary%20schedule.pdf" TargetMode="External"/><Relationship Id="rId26" Type="http://schemas.openxmlformats.org/officeDocument/2006/relationships/hyperlink" Target="http://www.paloverde.edu/hr/docs/schedules/177%20DAYS%20.%2010%20MONTH%20FACULTY%202018.2019.pdf" TargetMode="External"/><Relationship Id="rId3" Type="http://schemas.openxmlformats.org/officeDocument/2006/relationships/hyperlink" Target="http://www.ltcc.edu/_resources/pdfs/human_resources/faculty1000_2018_19.pdf" TargetMode="External"/><Relationship Id="rId21" Type="http://schemas.openxmlformats.org/officeDocument/2006/relationships/hyperlink" Target="https://www.mendocino.edu/college/employment/salary-schedule" TargetMode="External"/><Relationship Id="rId7" Type="http://schemas.openxmlformats.org/officeDocument/2006/relationships/hyperlink" Target="http://www.cmccd.edu/wp-content/uploads/2018/11/ACA177-07012018.pdf" TargetMode="External"/><Relationship Id="rId12" Type="http://schemas.openxmlformats.org/officeDocument/2006/relationships/hyperlink" Target="https://www.msjc.edu/HumanResources/Documents/Salary%20Schedules/Full%20Time%20Faculty_Teaching_eff%207.1.17_rev%20April%202018.pdf" TargetMode="External"/><Relationship Id="rId17" Type="http://schemas.openxmlformats.org/officeDocument/2006/relationships/hyperlink" Target="https://campussuite-storage.s3.amazonaws.com/prod/1558523/0672826e-a84b-11e7-9779-0ae3e1d9783c/1804780/abb34cf4-904e-11e8-9b6c-0aed72579992/file/1819%20Faculty.pdf" TargetMode="External"/><Relationship Id="rId25" Type="http://schemas.openxmlformats.org/officeDocument/2006/relationships/hyperlink" Target="http://www.siskiyous.edu/humanresources/salaries/documents/faculty175.pdf" TargetMode="External"/><Relationship Id="rId2" Type="http://schemas.openxmlformats.org/officeDocument/2006/relationships/hyperlink" Target="https://campussuite-storage.s3.amazonaws.com/prod/1558523/0672826e-a84b-11e7-9779-0ae3e1d9783c/1804780/abb34cf4-904e-11e8-9b6c-0aed72579992/file/1819%20Faculty.pdf" TargetMode="External"/><Relationship Id="rId16" Type="http://schemas.openxmlformats.org/officeDocument/2006/relationships/hyperlink" Target="http://www.collegeofthedesert.edu/fs/hr/Salary%20Schedules%20and%20Position/Full%20Time%20Faculty%20Salary%20Schedules%202018-2019.pdf" TargetMode="External"/><Relationship Id="rId20" Type="http://schemas.openxmlformats.org/officeDocument/2006/relationships/hyperlink" Target="http://www.lassencollege.edu/about/employment/Documents/Faculty%20Salary%20Schedule.pdf" TargetMode="External"/><Relationship Id="rId1" Type="http://schemas.openxmlformats.org/officeDocument/2006/relationships/hyperlink" Target="https://do-prod-webteam-drupalfiles.s3-us-west-2.amazonaws.com/kccdedu/s3fs-public/page/2018-19%203.59%20inc%20175%20day%20salary%20schedule.pdf" TargetMode="External"/><Relationship Id="rId6" Type="http://schemas.openxmlformats.org/officeDocument/2006/relationships/hyperlink" Target="https://www.mendocino.edu/college/employment/salary-schedule" TargetMode="External"/><Relationship Id="rId11" Type="http://schemas.openxmlformats.org/officeDocument/2006/relationships/hyperlink" Target="https://www.rccd.edu/administration/humanresources/SalarySchedule/2018-19/Full_Time_Faculty_2018_19.pdf" TargetMode="External"/><Relationship Id="rId24" Type="http://schemas.openxmlformats.org/officeDocument/2006/relationships/hyperlink" Target="http://www.sbccd.org/~/media/Files/SBCCD/District/HR%20%20Documents/Salary%20Schedules/CTA%20Corrected%20Salary%20Schedule.pdf" TargetMode="External"/><Relationship Id="rId5" Type="http://schemas.openxmlformats.org/officeDocument/2006/relationships/hyperlink" Target="http://www.barstow.edu/Pdf/Human_Resources/BCFA_Salary_Schedules.pdf" TargetMode="External"/><Relationship Id="rId15" Type="http://schemas.openxmlformats.org/officeDocument/2006/relationships/hyperlink" Target="http://www.siskiyous.edu/humanresources/salaries/documents/faculty175.pdf" TargetMode="External"/><Relationship Id="rId23" Type="http://schemas.openxmlformats.org/officeDocument/2006/relationships/hyperlink" Target="https://www.rccd.edu/administration/humanresources/SalarySchedule/2018-19/Full_Time_Faculty_2018_19.pdf" TargetMode="External"/><Relationship Id="rId28" Type="http://schemas.openxmlformats.org/officeDocument/2006/relationships/drawing" Target="../drawings/drawing15.xml"/><Relationship Id="rId10" Type="http://schemas.openxmlformats.org/officeDocument/2006/relationships/hyperlink" Target="http://www.sbccd.org/~/media/Files/SBCCD/District/HR%20%20Documents/Salary%20Schedules/CTA%20Corrected%20Salary%20Schedule.pdf" TargetMode="External"/><Relationship Id="rId19" Type="http://schemas.openxmlformats.org/officeDocument/2006/relationships/hyperlink" Target="http://www.ltcc.edu/_resources/pdfs/human_resources/faculty1000_2018_19.pdf" TargetMode="External"/><Relationship Id="rId4" Type="http://schemas.openxmlformats.org/officeDocument/2006/relationships/hyperlink" Target="http://www.lassencollege.edu/about/employment/Documents/Faculty%20Salary%20Schedule.pdf" TargetMode="External"/><Relationship Id="rId9" Type="http://schemas.openxmlformats.org/officeDocument/2006/relationships/hyperlink" Target="http://www.collegeofthedesert.edu/fs/hr/Salary%20Schedules%20and%20Position/Full%20Time%20Faculty%20Salary%20Schedules%202018-2019.pdf" TargetMode="External"/><Relationship Id="rId14" Type="http://schemas.openxmlformats.org/officeDocument/2006/relationships/hyperlink" Target="http://www.cmccd.edu/wp-content/uploads/2018/11/ACA177-07012018.pdf" TargetMode="External"/><Relationship Id="rId22" Type="http://schemas.openxmlformats.org/officeDocument/2006/relationships/hyperlink" Target="https://www.msjc.edu/HumanResources/Documents/Salary%20Schedules/Full%20Time%20Faculty_Teaching_eff%207.1.17_rev%20April%202018.pdf" TargetMode="External"/><Relationship Id="rId27" Type="http://schemas.openxmlformats.org/officeDocument/2006/relationships/printerSettings" Target="../printerSettings/printerSettings16.bin"/></Relationships>
</file>

<file path=xl/worksheets/_rels/sheet16.xml.rels><?xml version="1.0" encoding="UTF-8" standalone="yes"?>
<Relationships xmlns="http://schemas.openxmlformats.org/package/2006/relationships"><Relationship Id="rId8" Type="http://schemas.openxmlformats.org/officeDocument/2006/relationships/hyperlink" Target="http://www.paloverde.edu/hr/docs/schedules/177%20DAYS%20.%2010%20MONTH%20FACULTY%202018.2019.pdf" TargetMode="External"/><Relationship Id="rId13" Type="http://schemas.openxmlformats.org/officeDocument/2006/relationships/hyperlink" Target="https://www.msjc.edu/HumanResources/Documents/Salary%20Schedules/Full%20Time%20Faculty_Teaching_eff%207.1.17_rev%20April%202018.pdf" TargetMode="External"/><Relationship Id="rId3" Type="http://schemas.openxmlformats.org/officeDocument/2006/relationships/hyperlink" Target="http://www.ltcc.edu/_resources/pdfs/human_resources/faculty1000_2018_19.pdf" TargetMode="External"/><Relationship Id="rId7" Type="http://schemas.openxmlformats.org/officeDocument/2006/relationships/hyperlink" Target="http://www.cmccd.edu/wp-content/uploads/2018/11/ACA177-07012018.pdf" TargetMode="External"/><Relationship Id="rId12" Type="http://schemas.openxmlformats.org/officeDocument/2006/relationships/hyperlink" Target="https://www.rccd.edu/administration/humanresources/SalarySchedule/2018-19/Full_Time_Faculty_2018_19.pdf" TargetMode="External"/><Relationship Id="rId2" Type="http://schemas.openxmlformats.org/officeDocument/2006/relationships/hyperlink" Target="https://campussuite-storage.s3.amazonaws.com/prod/1558523/0672826e-a84b-11e7-9779-0ae3e1d9783c/1804780/abb34cf4-904e-11e8-9b6c-0aed72579992/file/1819%20Faculty.pdf" TargetMode="External"/><Relationship Id="rId1" Type="http://schemas.openxmlformats.org/officeDocument/2006/relationships/hyperlink" Target="https://do-prod-webteam-drupalfiles.s3-us-west-2.amazonaws.com/kccdedu/s3fs-public/page/2018-19%203.59%20inc%20175%20day%20salary%20schedule.pdf" TargetMode="External"/><Relationship Id="rId6" Type="http://schemas.openxmlformats.org/officeDocument/2006/relationships/hyperlink" Target="https://www.mendocino.edu/college/employment/salary-schedule" TargetMode="External"/><Relationship Id="rId11" Type="http://schemas.openxmlformats.org/officeDocument/2006/relationships/hyperlink" Target="http://www.sbccd.org/~/media/Files/SBCCD/District/HR%20%20Documents/Salary%20Schedules/CTA%20Corrected%20Salary%20Schedule.pdf" TargetMode="External"/><Relationship Id="rId5" Type="http://schemas.openxmlformats.org/officeDocument/2006/relationships/hyperlink" Target="http://www.barstow.edu/Pdf/Human_Resources/BCFA_Salary_Schedules.pdf" TargetMode="External"/><Relationship Id="rId15" Type="http://schemas.openxmlformats.org/officeDocument/2006/relationships/drawing" Target="../drawings/drawing16.xml"/><Relationship Id="rId10" Type="http://schemas.openxmlformats.org/officeDocument/2006/relationships/hyperlink" Target="http://www.collegeofthedesert.edu/fs/hr/Salary%20Schedules%20and%20Position/Full%20Time%20Faculty%20Salary%20Schedules%202018-2019.pdf" TargetMode="External"/><Relationship Id="rId4" Type="http://schemas.openxmlformats.org/officeDocument/2006/relationships/hyperlink" Target="http://www.lassencollege.edu/about/employment/Documents/Faculty%20Salary%20Schedule.pdf" TargetMode="External"/><Relationship Id="rId9" Type="http://schemas.openxmlformats.org/officeDocument/2006/relationships/hyperlink" Target="http://www.siskiyous.edu/humanresources/salaries/documents/faculty175.pdf" TargetMode="External"/><Relationship Id="rId14" Type="http://schemas.openxmlformats.org/officeDocument/2006/relationships/printerSettings" Target="../printerSettings/printerSettings17.bin"/></Relationships>
</file>

<file path=xl/worksheets/_rels/sheet17.xml.rels><?xml version="1.0" encoding="UTF-8" standalone="yes"?>
<Relationships xmlns="http://schemas.openxmlformats.org/package/2006/relationships"><Relationship Id="rId8" Type="http://schemas.openxmlformats.org/officeDocument/2006/relationships/hyperlink" Target="http://www.paloverde.edu/hr/docs/schedules/177%20DAYS%20.%2010%20MONTH%20FACULTY%202018.2019.pdf" TargetMode="External"/><Relationship Id="rId13" Type="http://schemas.openxmlformats.org/officeDocument/2006/relationships/hyperlink" Target="https://www.msjc.edu/HumanResources/Documents/Salary%20Schedules/Full%20Time%20Faculty_Teaching_eff%207.1.17_rev%20April%202018.pdf" TargetMode="External"/><Relationship Id="rId3" Type="http://schemas.openxmlformats.org/officeDocument/2006/relationships/hyperlink" Target="http://www.ltcc.edu/_resources/pdfs/human_resources/faculty1000_2018_19.pdf" TargetMode="External"/><Relationship Id="rId7" Type="http://schemas.openxmlformats.org/officeDocument/2006/relationships/hyperlink" Target="http://www.cmccd.edu/wp-content/uploads/2018/11/ACA177-07012018.pdf" TargetMode="External"/><Relationship Id="rId12" Type="http://schemas.openxmlformats.org/officeDocument/2006/relationships/hyperlink" Target="https://www.rccd.edu/administration/humanresources/SalarySchedule/2018-19/Full_Time_Faculty_2018_19.pdf" TargetMode="External"/><Relationship Id="rId2" Type="http://schemas.openxmlformats.org/officeDocument/2006/relationships/hyperlink" Target="https://campussuite-storage.s3.amazonaws.com/prod/1558523/0672826e-a84b-11e7-9779-0ae3e1d9783c/1804780/abb34cf4-904e-11e8-9b6c-0aed72579992/file/1819%20Faculty.pdf" TargetMode="External"/><Relationship Id="rId1" Type="http://schemas.openxmlformats.org/officeDocument/2006/relationships/hyperlink" Target="https://do-prod-webteam-drupalfiles.s3-us-west-2.amazonaws.com/kccdedu/s3fs-public/page/2018-19%203.59%20inc%20175%20day%20salary%20schedule.pdf" TargetMode="External"/><Relationship Id="rId6" Type="http://schemas.openxmlformats.org/officeDocument/2006/relationships/hyperlink" Target="https://www.mendocino.edu/college/employment/salary-schedule" TargetMode="External"/><Relationship Id="rId11" Type="http://schemas.openxmlformats.org/officeDocument/2006/relationships/hyperlink" Target="http://www.sbccd.org/~/media/Files/SBCCD/District/HR%20%20Documents/Salary%20Schedules/CTA%20Corrected%20Salary%20Schedule.pdf" TargetMode="External"/><Relationship Id="rId5" Type="http://schemas.openxmlformats.org/officeDocument/2006/relationships/hyperlink" Target="http://www.barstow.edu/Pdf/Human_Resources/BCFA_Salary_Schedules.pdf" TargetMode="External"/><Relationship Id="rId15" Type="http://schemas.openxmlformats.org/officeDocument/2006/relationships/drawing" Target="../drawings/drawing17.xml"/><Relationship Id="rId10" Type="http://schemas.openxmlformats.org/officeDocument/2006/relationships/hyperlink" Target="http://www.collegeofthedesert.edu/fs/hr/Salary%20Schedules%20and%20Position/Full%20Time%20Faculty%20Salary%20Schedules%202018-2019.pdf" TargetMode="External"/><Relationship Id="rId4" Type="http://schemas.openxmlformats.org/officeDocument/2006/relationships/hyperlink" Target="http://www.lassencollege.edu/about/employment/Documents/Faculty%20Salary%20Schedule.pdf" TargetMode="External"/><Relationship Id="rId9" Type="http://schemas.openxmlformats.org/officeDocument/2006/relationships/hyperlink" Target="http://www.siskiyous.edu/humanresources/salaries/documents/faculty175.pdf" TargetMode="External"/><Relationship Id="rId14" Type="http://schemas.openxmlformats.org/officeDocument/2006/relationships/printerSettings" Target="../printerSettings/printerSettings18.bin"/></Relationships>
</file>

<file path=xl/worksheets/_rels/sheet18.xml.rels><?xml version="1.0" encoding="UTF-8" standalone="yes"?>
<Relationships xmlns="http://schemas.openxmlformats.org/package/2006/relationships"><Relationship Id="rId3" Type="http://schemas.openxmlformats.org/officeDocument/2006/relationships/printerSettings" Target="../printerSettings/printerSettings19.bin"/><Relationship Id="rId2" Type="http://schemas.openxmlformats.org/officeDocument/2006/relationships/hyperlink" Target="http://www.paloverde.edu/hr/docs/schedules/177%20DAYS%20.%2010%20MONTH%20FACULTY%202018.2019.pdf" TargetMode="External"/><Relationship Id="rId1" Type="http://schemas.openxmlformats.org/officeDocument/2006/relationships/hyperlink" Target="http://www.paloverde.edu/hr/docs/schedules/177%20DAYS%20.%2010%20MONTH%20FACULTY%202018.2019.pdf" TargetMode="External"/><Relationship Id="rId6" Type="http://schemas.openxmlformats.org/officeDocument/2006/relationships/comments" Target="../comments7.xml"/><Relationship Id="rId5" Type="http://schemas.openxmlformats.org/officeDocument/2006/relationships/vmlDrawing" Target="../drawings/vmlDrawing7.vml"/><Relationship Id="rId4"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13" Type="http://schemas.openxmlformats.org/officeDocument/2006/relationships/hyperlink" Target="https://www.bestplaces.net/cost_of_living/city/california/visalia" TargetMode="External"/><Relationship Id="rId18" Type="http://schemas.openxmlformats.org/officeDocument/2006/relationships/hyperlink" Target="https://www.bestplaces.net/cost_of_living/city/california/monterey" TargetMode="External"/><Relationship Id="rId26" Type="http://schemas.openxmlformats.org/officeDocument/2006/relationships/hyperlink" Target="https://employees.losrios.edu/shared/doc/hr/cba/lrcft/2024-2027/lrcft2023-2026.pdf" TargetMode="External"/><Relationship Id="rId21" Type="http://schemas.openxmlformats.org/officeDocument/2006/relationships/hyperlink" Target="https://www.bestplaces.net/cost_of_living/city/california/taft" TargetMode="External"/><Relationship Id="rId34" Type="http://schemas.openxmlformats.org/officeDocument/2006/relationships/hyperlink" Target="https://www.cos.edu/en-us/Documents/COSTA%20Master%20Agreement%20(2024-2027).pdf" TargetMode="External"/><Relationship Id="rId7" Type="http://schemas.openxmlformats.org/officeDocument/2006/relationships/hyperlink" Target="https://www.cuesta.edu/about/documents/hr_docs/CCFT_COLLECTIVE_BARGAINING_AGREEMENT_2023-2025.pdf" TargetMode="External"/><Relationship Id="rId12" Type="http://schemas.openxmlformats.org/officeDocument/2006/relationships/hyperlink" Target="https://www.bestplaces.net/cost_of_living/city/california/aptos" TargetMode="External"/><Relationship Id="rId17" Type="http://schemas.openxmlformats.org/officeDocument/2006/relationships/hyperlink" Target="https://www.bestplaces.net/cost_of_living/city/california/merced" TargetMode="External"/><Relationship Id="rId25" Type="http://schemas.openxmlformats.org/officeDocument/2006/relationships/hyperlink" Target="https://www.vcccd.edu/sites/default/files/media/pdf_document/2023/2022-2025%20AFT%20-%20VCCCD%20Contract.pdf" TargetMode="External"/><Relationship Id="rId33" Type="http://schemas.openxmlformats.org/officeDocument/2006/relationships/hyperlink" Target="https://www.bestplaces.net/cost_of_living/city/california/martinez" TargetMode="External"/><Relationship Id="rId38" Type="http://schemas.openxmlformats.org/officeDocument/2006/relationships/drawing" Target="../drawings/drawing2.xml"/><Relationship Id="rId2" Type="http://schemas.openxmlformats.org/officeDocument/2006/relationships/hyperlink" Target="https://www.gavilan.edu/jobs/docs/FY-24-25-GCFA-COLLECTIVE-BARGAINING-AGREEMENT-Final.pdf" TargetMode="External"/><Relationship Id="rId16" Type="http://schemas.openxmlformats.org/officeDocument/2006/relationships/hyperlink" Target="https://www.bestplaces.net/cost_of_living/city/california/bakersfield" TargetMode="External"/><Relationship Id="rId20" Type="http://schemas.openxmlformats.org/officeDocument/2006/relationships/hyperlink" Target="https://www.bestplaces.net/cost_of_living/city/california/fresno" TargetMode="External"/><Relationship Id="rId29" Type="http://schemas.openxmlformats.org/officeDocument/2006/relationships/hyperlink" Target="https://www.bestplaces.net/cost_of_living/city/california/camarillo" TargetMode="External"/><Relationship Id="rId1" Type="http://schemas.openxmlformats.org/officeDocument/2006/relationships/hyperlink" Target="https://drive.google.com/file/d/1bf8rRx3DxkG0Cpm3ps8VUd6PjQT3Jiyz/view" TargetMode="External"/><Relationship Id="rId6" Type="http://schemas.openxmlformats.org/officeDocument/2006/relationships/hyperlink" Target="https://drive.google.com/file/d/1TiCBNJXCz78mQDg0QFYWPd3Qg7388sOI/view" TargetMode="External"/><Relationship Id="rId11" Type="http://schemas.openxmlformats.org/officeDocument/2006/relationships/hyperlink" Target="https://www.yosemite.edu/hr/employeeforms/contracts_handbooks/yfa_collective_bargaining_agreement_2023_-_2026.pdf" TargetMode="External"/><Relationship Id="rId24" Type="http://schemas.openxmlformats.org/officeDocument/2006/relationships/hyperlink" Target="https://www.hancockcollege.edu/hr/documents/Final%20Faculty%20CBA%202024-2027.pdf" TargetMode="External"/><Relationship Id="rId32" Type="http://schemas.openxmlformats.org/officeDocument/2006/relationships/hyperlink" Target="https://www.4cd.edu/hr/ufcontract/Final%202022-2025%20UF%20Contract.pdf" TargetMode="External"/><Relationship Id="rId37" Type="http://schemas.openxmlformats.org/officeDocument/2006/relationships/printerSettings" Target="../printerSettings/printerSettings3.bin"/><Relationship Id="rId5" Type="http://schemas.openxmlformats.org/officeDocument/2006/relationships/hyperlink" Target="https://www.mccd.edu/wp-content/uploads/2024/06/mcfa-2024-2027-agreement-final-signed-website-2.pdf" TargetMode="External"/><Relationship Id="rId15" Type="http://schemas.openxmlformats.org/officeDocument/2006/relationships/hyperlink" Target="https://www.bestplaces.net/cost_of_living/city/california/salinas" TargetMode="External"/><Relationship Id="rId23" Type="http://schemas.openxmlformats.org/officeDocument/2006/relationships/hyperlink" Target="https://www.bestplaces.net/cost_of_living/city/california/modesto" TargetMode="External"/><Relationship Id="rId28" Type="http://schemas.openxmlformats.org/officeDocument/2006/relationships/hyperlink" Target="https://www.bestplaces.net/cost_of_living/city/california/sacramento" TargetMode="External"/><Relationship Id="rId36" Type="http://schemas.openxmlformats.org/officeDocument/2006/relationships/hyperlink" Target="https://www.bestplaces.net/cost_of_living/city/california/fresno" TargetMode="External"/><Relationship Id="rId10" Type="http://schemas.openxmlformats.org/officeDocument/2006/relationships/hyperlink" Target="https://westhillscollege.com/district/departments/human-resources/documents/cta_contract.pdf" TargetMode="External"/><Relationship Id="rId19" Type="http://schemas.openxmlformats.org/officeDocument/2006/relationships/hyperlink" Target="https://www.bestplaces.net/cost_of_living/city/california/san_luis_obispo" TargetMode="External"/><Relationship Id="rId31" Type="http://schemas.openxmlformats.org/officeDocument/2006/relationships/hyperlink" Target="https://www.bestplaces.net/cost_of_living/city/california/stockton" TargetMode="External"/><Relationship Id="rId4" Type="http://schemas.openxmlformats.org/officeDocument/2006/relationships/hyperlink" Target="https://www.kccd.edu/human-resources/_documents/contracts/faculty/FINAL%20KCCD%20CCA%20Contract%20%202023-2026%20CBA%20-%20revised%2012.13.23.pdf" TargetMode="External"/><Relationship Id="rId9" Type="http://schemas.openxmlformats.org/officeDocument/2006/relationships/hyperlink" Target="https://www.taftcollege.edu/faculty-staff/resources/_files/docs/2023-26%20Faculty%20CBA%20FINAL.pdf" TargetMode="External"/><Relationship Id="rId14" Type="http://schemas.openxmlformats.org/officeDocument/2006/relationships/hyperlink" Target="https://www.bestplaces.net/cost_of_living/city/california/gilroy" TargetMode="External"/><Relationship Id="rId22" Type="http://schemas.openxmlformats.org/officeDocument/2006/relationships/hyperlink" Target="https://www.bestplaces.net/cost_of_living/city/california/coalinga" TargetMode="External"/><Relationship Id="rId27" Type="http://schemas.openxmlformats.org/officeDocument/2006/relationships/hyperlink" Target="https://www.bestplaces.net/cost_of_living/city/california/santa_maria" TargetMode="External"/><Relationship Id="rId30" Type="http://schemas.openxmlformats.org/officeDocument/2006/relationships/hyperlink" Target="https://deltacollege.edu/sites/default/files/sjdcta_cba_2024-2027.pdf" TargetMode="External"/><Relationship Id="rId35" Type="http://schemas.openxmlformats.org/officeDocument/2006/relationships/hyperlink" Target="https://www.scccd.edu/_uploaded-files/documents/scccd-scft-agreement-2022-2025-05.9.23-accessible-copy.pdf" TargetMode="External"/><Relationship Id="rId8" Type="http://schemas.openxmlformats.org/officeDocument/2006/relationships/hyperlink" Target="https://www.scccd.edu/_uploaded-files/documents/scccd-scft-agreement-2022-2025-05.9.23-accessible-copy.pdf" TargetMode="External"/><Relationship Id="rId3" Type="http://schemas.openxmlformats.org/officeDocument/2006/relationships/hyperlink" Target="https://www.hartnell.edu/hr/hcfa_cba_2022-2025.pdf"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s://www.cuesta.edu/about/documents/hr_docs/CCFT_COLLECTIVE_BARGAINING_AGREEMENT_2023-2025.pdf" TargetMode="External"/><Relationship Id="rId13" Type="http://schemas.openxmlformats.org/officeDocument/2006/relationships/hyperlink" Target="https://www.hancockcollege.edu/hr/documents/Final%20Faculty%20CBA%202024-2027.pdf" TargetMode="External"/><Relationship Id="rId18" Type="http://schemas.openxmlformats.org/officeDocument/2006/relationships/hyperlink" Target="https://www.scccd.edu/_uploaded-files/documents/scccd-scft-agreement-2022-2025-05.9.23-accessible-copy.pdf" TargetMode="External"/><Relationship Id="rId3" Type="http://schemas.openxmlformats.org/officeDocument/2006/relationships/hyperlink" Target="https://www.gavilan.edu/jobs/docs/FY-24-25-GCFA-COLLECTIVE-BARGAINING-AGREEMENT-Final.pdf" TargetMode="External"/><Relationship Id="rId21" Type="http://schemas.openxmlformats.org/officeDocument/2006/relationships/table" Target="../tables/table5.xml"/><Relationship Id="rId7" Type="http://schemas.openxmlformats.org/officeDocument/2006/relationships/hyperlink" Target="https://drive.google.com/file/d/1TiCBNJXCz78mQDg0QFYWPd3Qg7388sOI/view" TargetMode="External"/><Relationship Id="rId12" Type="http://schemas.openxmlformats.org/officeDocument/2006/relationships/hyperlink" Target="https://www.yosemite.edu/hr/employeeforms/contracts_handbooks/yfa_collective_bargaining_agreement_2023_-_2026.pdf" TargetMode="External"/><Relationship Id="rId17" Type="http://schemas.openxmlformats.org/officeDocument/2006/relationships/hyperlink" Target="https://deltacollege.edu/sites/default/files/sjdcta_cba_2024-2027.pdf" TargetMode="External"/><Relationship Id="rId2" Type="http://schemas.openxmlformats.org/officeDocument/2006/relationships/hyperlink" Target="https://www.cos.edu/en-us/Documents/COSTA%20Master%20Agreement%20(2024-2027).pdf" TargetMode="External"/><Relationship Id="rId16" Type="http://schemas.openxmlformats.org/officeDocument/2006/relationships/hyperlink" Target="https://www.4cd.edu/hr/ufcontract/Final%202022-2025%20UF%20Contract.pdf" TargetMode="External"/><Relationship Id="rId20" Type="http://schemas.openxmlformats.org/officeDocument/2006/relationships/drawing" Target="../drawings/drawing3.xml"/><Relationship Id="rId1" Type="http://schemas.openxmlformats.org/officeDocument/2006/relationships/hyperlink" Target="https://drive.google.com/file/d/1bf8rRx3DxkG0Cpm3ps8VUd6PjQT3Jiyz/view" TargetMode="External"/><Relationship Id="rId6" Type="http://schemas.openxmlformats.org/officeDocument/2006/relationships/hyperlink" Target="https://www.mccd.edu/wp-content/uploads/2024/06/mcfa-2024-2027-agreement-final-signed-website-2.pdf" TargetMode="External"/><Relationship Id="rId11" Type="http://schemas.openxmlformats.org/officeDocument/2006/relationships/hyperlink" Target="https://westhillscollege.com/district/departments/human-resources/documents/cta_contract.pdf" TargetMode="External"/><Relationship Id="rId5" Type="http://schemas.openxmlformats.org/officeDocument/2006/relationships/hyperlink" Target="https://www.kccd.edu/human-resources/_documents/contracts/faculty/FINAL%20KCCD%20CCA%20Contract%20%202023-2026%20CBA%20-%20revised%2012.13.23.pdf" TargetMode="External"/><Relationship Id="rId15" Type="http://schemas.openxmlformats.org/officeDocument/2006/relationships/hyperlink" Target="https://employees.losrios.edu/shared/doc/hr/cba/lrcft/2024-2027/lrcft2023-2026.pdf" TargetMode="External"/><Relationship Id="rId10" Type="http://schemas.openxmlformats.org/officeDocument/2006/relationships/hyperlink" Target="https://www.taftcollege.edu/faculty-staff/resources/_files/docs/2023-26%20Faculty%20CBA%20FINAL.pdf" TargetMode="External"/><Relationship Id="rId19" Type="http://schemas.openxmlformats.org/officeDocument/2006/relationships/printerSettings" Target="../printerSettings/printerSettings4.bin"/><Relationship Id="rId4" Type="http://schemas.openxmlformats.org/officeDocument/2006/relationships/hyperlink" Target="https://www.hartnell.edu/hr/hcfa_cba_2022-2025.pdf" TargetMode="External"/><Relationship Id="rId9" Type="http://schemas.openxmlformats.org/officeDocument/2006/relationships/hyperlink" Target="https://www.scccd.edu/_uploaded-files/documents/scccd-scft-agreement-2022-2025-05.9.23-accessible-copy.pdf" TargetMode="External"/><Relationship Id="rId14" Type="http://schemas.openxmlformats.org/officeDocument/2006/relationships/hyperlink" Target="https://www.vcccd.edu/sites/default/files/media/pdf_document/2023/2022-2025%20AFT%20-%20VCCCD%20Contract.pdf"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https://www.cuesta.edu/about/documents/hr_docs/CCFT_COLLECTIVE_BARGAINING_AGREEMENT_2023-2025.pdf" TargetMode="External"/><Relationship Id="rId13" Type="http://schemas.openxmlformats.org/officeDocument/2006/relationships/hyperlink" Target="https://www.hancockcollege.edu/hr/documents/Final%20Faculty%20CBA%202024-2027.pdf" TargetMode="External"/><Relationship Id="rId18" Type="http://schemas.openxmlformats.org/officeDocument/2006/relationships/hyperlink" Target="https://www.scccd.edu/_uploaded-files/documents/scccd-scft-agreement-2022-2025-05.9.23-accessible-copy.pdf" TargetMode="External"/><Relationship Id="rId3" Type="http://schemas.openxmlformats.org/officeDocument/2006/relationships/hyperlink" Target="https://www.gavilan.edu/jobs/docs/FY-24-25-GCFA-COLLECTIVE-BARGAINING-AGREEMENT-Final.pdf" TargetMode="External"/><Relationship Id="rId21" Type="http://schemas.openxmlformats.org/officeDocument/2006/relationships/table" Target="../tables/table6.xml"/><Relationship Id="rId7" Type="http://schemas.openxmlformats.org/officeDocument/2006/relationships/hyperlink" Target="https://drive.google.com/file/d/1TiCBNJXCz78mQDg0QFYWPd3Qg7388sOI/view" TargetMode="External"/><Relationship Id="rId12" Type="http://schemas.openxmlformats.org/officeDocument/2006/relationships/hyperlink" Target="https://www.yosemite.edu/hr/employeeforms/contracts_handbooks/yfa_collective_bargaining_agreement_2023_-_2026.pdf" TargetMode="External"/><Relationship Id="rId17" Type="http://schemas.openxmlformats.org/officeDocument/2006/relationships/hyperlink" Target="https://deltacollege.edu/sites/default/files/sjdcta_cba_2024-2027.pdf" TargetMode="External"/><Relationship Id="rId2" Type="http://schemas.openxmlformats.org/officeDocument/2006/relationships/hyperlink" Target="https://www.cos.edu/en-us/Documents/COSTA%20Master%20Agreement%20(2024-2027).pdf" TargetMode="External"/><Relationship Id="rId16" Type="http://schemas.openxmlformats.org/officeDocument/2006/relationships/hyperlink" Target="https://www.4cd.edu/hr/ufcontract/Final%202022-2025%20UF%20Contract.pdf" TargetMode="External"/><Relationship Id="rId20" Type="http://schemas.openxmlformats.org/officeDocument/2006/relationships/drawing" Target="../drawings/drawing4.xml"/><Relationship Id="rId1" Type="http://schemas.openxmlformats.org/officeDocument/2006/relationships/hyperlink" Target="https://drive.google.com/file/d/1bf8rRx3DxkG0Cpm3ps8VUd6PjQT3Jiyz/view" TargetMode="External"/><Relationship Id="rId6" Type="http://schemas.openxmlformats.org/officeDocument/2006/relationships/hyperlink" Target="https://www.mccd.edu/wp-content/uploads/2024/06/mcfa-2024-2027-agreement-final-signed-website-2.pdf" TargetMode="External"/><Relationship Id="rId11" Type="http://schemas.openxmlformats.org/officeDocument/2006/relationships/hyperlink" Target="https://westhillscollege.com/district/departments/human-resources/documents/cta_contract.pdf" TargetMode="External"/><Relationship Id="rId5" Type="http://schemas.openxmlformats.org/officeDocument/2006/relationships/hyperlink" Target="https://www.kccd.edu/human-resources/_documents/contracts/faculty/FINAL%20KCCD%20CCA%20Contract%20%202023-2026%20CBA%20-%20revised%2012.13.23.pdf" TargetMode="External"/><Relationship Id="rId15" Type="http://schemas.openxmlformats.org/officeDocument/2006/relationships/hyperlink" Target="https://employees.losrios.edu/shared/doc/hr/cba/lrcft/2024-2027/lrcft2023-2026.pdf" TargetMode="External"/><Relationship Id="rId10" Type="http://schemas.openxmlformats.org/officeDocument/2006/relationships/hyperlink" Target="https://www.taftcollege.edu/faculty-staff/resources/_files/docs/2023-26%20Faculty%20CBA%20FINAL.pdf" TargetMode="External"/><Relationship Id="rId19" Type="http://schemas.openxmlformats.org/officeDocument/2006/relationships/printerSettings" Target="../printerSettings/printerSettings5.bin"/><Relationship Id="rId4" Type="http://schemas.openxmlformats.org/officeDocument/2006/relationships/hyperlink" Target="https://www.hartnell.edu/hr/hcfa_cba_2022-2025.pdf" TargetMode="External"/><Relationship Id="rId9" Type="http://schemas.openxmlformats.org/officeDocument/2006/relationships/hyperlink" Target="https://www.scccd.edu/_uploaded-files/documents/scccd-scft-agreement-2022-2025-05.9.23-accessible-copy.pdf" TargetMode="External"/><Relationship Id="rId14" Type="http://schemas.openxmlformats.org/officeDocument/2006/relationships/hyperlink" Target="https://www.vcccd.edu/sites/default/files/media/pdf_document/2023/2022-2025%20AFT%20-%20VCCCD%20Contract.pdf" TargetMode="External"/></Relationships>
</file>

<file path=xl/worksheets/_rels/sheet5.xml.rels><?xml version="1.0" encoding="UTF-8" standalone="yes"?>
<Relationships xmlns="http://schemas.openxmlformats.org/package/2006/relationships"><Relationship Id="rId8" Type="http://schemas.openxmlformats.org/officeDocument/2006/relationships/hyperlink" Target="https://www.cuesta.edu/about/documents/hr_docs/CCFT_COLLECTIVE_BARGAINING_AGREEMENT_2023-2025.pdf" TargetMode="External"/><Relationship Id="rId13" Type="http://schemas.openxmlformats.org/officeDocument/2006/relationships/hyperlink" Target="https://www.hancockcollege.edu/hr/documents/Final%20Faculty%20CBA%202024-2027.pdf" TargetMode="External"/><Relationship Id="rId18" Type="http://schemas.openxmlformats.org/officeDocument/2006/relationships/hyperlink" Target="https://www.scccd.edu/_uploaded-files/documents/scccd-scft-agreement-2022-2025-05.9.23-accessible-copy.pdf" TargetMode="External"/><Relationship Id="rId3" Type="http://schemas.openxmlformats.org/officeDocument/2006/relationships/hyperlink" Target="https://www.gavilan.edu/jobs/docs/FY-24-25-GCFA-COLLECTIVE-BARGAINING-AGREEMENT-Final.pdf" TargetMode="External"/><Relationship Id="rId21" Type="http://schemas.openxmlformats.org/officeDocument/2006/relationships/table" Target="../tables/table7.xml"/><Relationship Id="rId7" Type="http://schemas.openxmlformats.org/officeDocument/2006/relationships/hyperlink" Target="https://drive.google.com/file/d/1TiCBNJXCz78mQDg0QFYWPd3Qg7388sOI/view" TargetMode="External"/><Relationship Id="rId12" Type="http://schemas.openxmlformats.org/officeDocument/2006/relationships/hyperlink" Target="https://www.yosemite.edu/hr/employeeforms/contracts_handbooks/yfa_collective_bargaining_agreement_2023_-_2026.pdf" TargetMode="External"/><Relationship Id="rId17" Type="http://schemas.openxmlformats.org/officeDocument/2006/relationships/hyperlink" Target="https://deltacollege.edu/sites/default/files/sjdcta_cba_2024-2027.pdf" TargetMode="External"/><Relationship Id="rId2" Type="http://schemas.openxmlformats.org/officeDocument/2006/relationships/hyperlink" Target="https://www.cos.edu/en-us/Documents/COSTA%20Master%20Agreement%20(2024-2027).pdf" TargetMode="External"/><Relationship Id="rId16" Type="http://schemas.openxmlformats.org/officeDocument/2006/relationships/hyperlink" Target="https://www.4cd.edu/hr/ufcontract/Final%202022-2025%20UF%20Contract.pdf" TargetMode="External"/><Relationship Id="rId20" Type="http://schemas.openxmlformats.org/officeDocument/2006/relationships/drawing" Target="../drawings/drawing5.xml"/><Relationship Id="rId1" Type="http://schemas.openxmlformats.org/officeDocument/2006/relationships/hyperlink" Target="https://drive.google.com/file/d/1bf8rRx3DxkG0Cpm3ps8VUd6PjQT3Jiyz/view" TargetMode="External"/><Relationship Id="rId6" Type="http://schemas.openxmlformats.org/officeDocument/2006/relationships/hyperlink" Target="https://www.mccd.edu/wp-content/uploads/2024/06/mcfa-2024-2027-agreement-final-signed-website-2.pdf" TargetMode="External"/><Relationship Id="rId11" Type="http://schemas.openxmlformats.org/officeDocument/2006/relationships/hyperlink" Target="https://westhillscollege.com/district/departments/human-resources/documents/cta_contract.pdf" TargetMode="External"/><Relationship Id="rId5" Type="http://schemas.openxmlformats.org/officeDocument/2006/relationships/hyperlink" Target="https://www.kccd.edu/human-resources/_documents/contracts/faculty/FINAL%20KCCD%20CCA%20Contract%20%202023-2026%20CBA%20-%20revised%2012.13.23.pdf" TargetMode="External"/><Relationship Id="rId15" Type="http://schemas.openxmlformats.org/officeDocument/2006/relationships/hyperlink" Target="https://employees.losrios.edu/shared/doc/hr/cba/lrcft/2024-2027/lrcft2023-2026.pdf" TargetMode="External"/><Relationship Id="rId10" Type="http://schemas.openxmlformats.org/officeDocument/2006/relationships/hyperlink" Target="https://www.taftcollege.edu/faculty-staff/resources/_files/docs/2023-26%20Faculty%20CBA%20FINAL.pdf" TargetMode="External"/><Relationship Id="rId19" Type="http://schemas.openxmlformats.org/officeDocument/2006/relationships/printerSettings" Target="../printerSettings/printerSettings6.bin"/><Relationship Id="rId4" Type="http://schemas.openxmlformats.org/officeDocument/2006/relationships/hyperlink" Target="https://www.hartnell.edu/hr/hcfa_cba_2022-2025.pdf" TargetMode="External"/><Relationship Id="rId9" Type="http://schemas.openxmlformats.org/officeDocument/2006/relationships/hyperlink" Target="https://www.scccd.edu/_uploaded-files/documents/scccd-scft-agreement-2022-2025-05.9.23-accessible-copy.pdf" TargetMode="External"/><Relationship Id="rId14" Type="http://schemas.openxmlformats.org/officeDocument/2006/relationships/hyperlink" Target="https://www.vcccd.edu/sites/default/files/media/pdf_document/2023/2022-2025%20AFT%20-%20VCCCD%20Contract.pdf" TargetMode="External"/></Relationships>
</file>

<file path=xl/worksheets/_rels/sheet6.xml.rels><?xml version="1.0" encoding="UTF-8" standalone="yes"?>
<Relationships xmlns="http://schemas.openxmlformats.org/package/2006/relationships"><Relationship Id="rId8" Type="http://schemas.openxmlformats.org/officeDocument/2006/relationships/hyperlink" Target="https://www.cuesta.edu/about/documents/hr_docs/CCFT_COLLECTIVE_BARGAINING_AGREEMENT_2023-2025.pdf" TargetMode="External"/><Relationship Id="rId13" Type="http://schemas.openxmlformats.org/officeDocument/2006/relationships/hyperlink" Target="https://www.hancockcollege.edu/hr/documents/Final%20Faculty%20CBA%202024-2027.pdf" TargetMode="External"/><Relationship Id="rId18" Type="http://schemas.openxmlformats.org/officeDocument/2006/relationships/hyperlink" Target="https://www.scccd.edu/_uploaded-files/documents/scccd-scft-agreement-2022-2025-05.9.23-accessible-copy.pdf" TargetMode="External"/><Relationship Id="rId3" Type="http://schemas.openxmlformats.org/officeDocument/2006/relationships/hyperlink" Target="https://www.gavilan.edu/jobs/docs/FY-24-25-GCFA-COLLECTIVE-BARGAINING-AGREEMENT-Final.pdf" TargetMode="External"/><Relationship Id="rId21" Type="http://schemas.openxmlformats.org/officeDocument/2006/relationships/table" Target="../tables/table8.xml"/><Relationship Id="rId7" Type="http://schemas.openxmlformats.org/officeDocument/2006/relationships/hyperlink" Target="https://drive.google.com/file/d/1TiCBNJXCz78mQDg0QFYWPd3Qg7388sOI/view" TargetMode="External"/><Relationship Id="rId12" Type="http://schemas.openxmlformats.org/officeDocument/2006/relationships/hyperlink" Target="https://www.yosemite.edu/hr/employeeforms/contracts_handbooks/yfa_collective_bargaining_agreement_2023_-_2026.pdf" TargetMode="External"/><Relationship Id="rId17" Type="http://schemas.openxmlformats.org/officeDocument/2006/relationships/hyperlink" Target="https://deltacollege.edu/sites/default/files/sjdcta_cba_2024-2027.pdf" TargetMode="External"/><Relationship Id="rId2" Type="http://schemas.openxmlformats.org/officeDocument/2006/relationships/hyperlink" Target="https://www.cos.edu/en-us/Documents/COSTA%20Master%20Agreement%20(2024-2027).pdf" TargetMode="External"/><Relationship Id="rId16" Type="http://schemas.openxmlformats.org/officeDocument/2006/relationships/hyperlink" Target="https://www.4cd.edu/hr/ufcontract/Final%202022-2025%20UF%20Contract.pdf" TargetMode="External"/><Relationship Id="rId20" Type="http://schemas.openxmlformats.org/officeDocument/2006/relationships/drawing" Target="../drawings/drawing6.xml"/><Relationship Id="rId1" Type="http://schemas.openxmlformats.org/officeDocument/2006/relationships/hyperlink" Target="https://drive.google.com/file/d/1bf8rRx3DxkG0Cpm3ps8VUd6PjQT3Jiyz/view" TargetMode="External"/><Relationship Id="rId6" Type="http://schemas.openxmlformats.org/officeDocument/2006/relationships/hyperlink" Target="https://www.mccd.edu/wp-content/uploads/2024/06/mcfa-2024-2027-agreement-final-signed-website-2.pdf" TargetMode="External"/><Relationship Id="rId11" Type="http://schemas.openxmlformats.org/officeDocument/2006/relationships/hyperlink" Target="https://westhillscollege.com/district/departments/human-resources/documents/cta_contract.pdf" TargetMode="External"/><Relationship Id="rId5" Type="http://schemas.openxmlformats.org/officeDocument/2006/relationships/hyperlink" Target="https://www.kccd.edu/human-resources/_documents/contracts/faculty/FINAL%20KCCD%20CCA%20Contract%20%202023-2026%20CBA%20-%20revised%2012.13.23.pdf" TargetMode="External"/><Relationship Id="rId15" Type="http://schemas.openxmlformats.org/officeDocument/2006/relationships/hyperlink" Target="https://employees.losrios.edu/shared/doc/hr/cba/lrcft/2024-2027/lrcft2023-2026.pdf" TargetMode="External"/><Relationship Id="rId10" Type="http://schemas.openxmlformats.org/officeDocument/2006/relationships/hyperlink" Target="https://www.taftcollege.edu/faculty-staff/resources/_files/docs/2023-26%20Faculty%20CBA%20FINAL.pdf" TargetMode="External"/><Relationship Id="rId19" Type="http://schemas.openxmlformats.org/officeDocument/2006/relationships/printerSettings" Target="../printerSettings/printerSettings7.bin"/><Relationship Id="rId4" Type="http://schemas.openxmlformats.org/officeDocument/2006/relationships/hyperlink" Target="https://www.hartnell.edu/hr/hcfa_cba_2022-2025.pdf" TargetMode="External"/><Relationship Id="rId9" Type="http://schemas.openxmlformats.org/officeDocument/2006/relationships/hyperlink" Target="https://www.scccd.edu/_uploaded-files/documents/scccd-scft-agreement-2022-2025-05.9.23-accessible-copy.pdf" TargetMode="External"/><Relationship Id="rId14" Type="http://schemas.openxmlformats.org/officeDocument/2006/relationships/hyperlink" Target="https://www.vcccd.edu/sites/default/files/media/pdf_document/2023/2022-2025%20AFT%20-%20VCCCD%20Contract.pdf"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https://www.cuesta.edu/about/documents/hr_docs/CCFT_COLLECTIVE_BARGAINING_AGREEMENT_2023-2025.pdf" TargetMode="External"/><Relationship Id="rId13" Type="http://schemas.openxmlformats.org/officeDocument/2006/relationships/hyperlink" Target="https://www.hancockcollege.edu/hr/documents/Final%20Faculty%20CBA%202024-2027.pdf" TargetMode="External"/><Relationship Id="rId18" Type="http://schemas.openxmlformats.org/officeDocument/2006/relationships/hyperlink" Target="https://www.scccd.edu/_uploaded-files/documents/scccd-scft-agreement-2022-2025-05.9.23-accessible-copy.pdf" TargetMode="External"/><Relationship Id="rId3" Type="http://schemas.openxmlformats.org/officeDocument/2006/relationships/hyperlink" Target="https://www.gavilan.edu/jobs/docs/FY-24-25-GCFA-COLLECTIVE-BARGAINING-AGREEMENT-Final.pdf" TargetMode="External"/><Relationship Id="rId21" Type="http://schemas.openxmlformats.org/officeDocument/2006/relationships/table" Target="../tables/table9.xml"/><Relationship Id="rId7" Type="http://schemas.openxmlformats.org/officeDocument/2006/relationships/hyperlink" Target="https://drive.google.com/file/d/1TiCBNJXCz78mQDg0QFYWPd3Qg7388sOI/view" TargetMode="External"/><Relationship Id="rId12" Type="http://schemas.openxmlformats.org/officeDocument/2006/relationships/hyperlink" Target="https://www.yosemite.edu/hr/employeeforms/contracts_handbooks/yfa_collective_bargaining_agreement_2023_-_2026.pdf" TargetMode="External"/><Relationship Id="rId17" Type="http://schemas.openxmlformats.org/officeDocument/2006/relationships/hyperlink" Target="https://deltacollege.edu/sites/default/files/sjdcta_cba_2024-2027.pdf" TargetMode="External"/><Relationship Id="rId2" Type="http://schemas.openxmlformats.org/officeDocument/2006/relationships/hyperlink" Target="https://www.cos.edu/en-us/Documents/COSTA%20Master%20Agreement%20(2024-2027).pdf" TargetMode="External"/><Relationship Id="rId16" Type="http://schemas.openxmlformats.org/officeDocument/2006/relationships/hyperlink" Target="https://www.4cd.edu/hr/ufcontract/Final%202022-2025%20UF%20Contract.pdf" TargetMode="External"/><Relationship Id="rId20" Type="http://schemas.openxmlformats.org/officeDocument/2006/relationships/drawing" Target="../drawings/drawing7.xml"/><Relationship Id="rId1" Type="http://schemas.openxmlformats.org/officeDocument/2006/relationships/hyperlink" Target="https://drive.google.com/file/d/1bf8rRx3DxkG0Cpm3ps8VUd6PjQT3Jiyz/view" TargetMode="External"/><Relationship Id="rId6" Type="http://schemas.openxmlformats.org/officeDocument/2006/relationships/hyperlink" Target="https://www.mccd.edu/wp-content/uploads/2024/06/mcfa-2024-2027-agreement-final-signed-website-2.pdf" TargetMode="External"/><Relationship Id="rId11" Type="http://schemas.openxmlformats.org/officeDocument/2006/relationships/hyperlink" Target="https://westhillscollege.com/district/departments/human-resources/documents/cta_contract.pdf" TargetMode="External"/><Relationship Id="rId5" Type="http://schemas.openxmlformats.org/officeDocument/2006/relationships/hyperlink" Target="https://www.kccd.edu/human-resources/_documents/contracts/faculty/FINAL%20KCCD%20CCA%20Contract%20%202023-2026%20CBA%20-%20revised%2012.13.23.pdf" TargetMode="External"/><Relationship Id="rId15" Type="http://schemas.openxmlformats.org/officeDocument/2006/relationships/hyperlink" Target="https://employees.losrios.edu/shared/doc/hr/cba/lrcft/2024-2027/lrcft2023-2026.pdf" TargetMode="External"/><Relationship Id="rId10" Type="http://schemas.openxmlformats.org/officeDocument/2006/relationships/hyperlink" Target="https://www.taftcollege.edu/faculty-staff/resources/_files/docs/2023-26%20Faculty%20CBA%20FINAL.pdf" TargetMode="External"/><Relationship Id="rId19" Type="http://schemas.openxmlformats.org/officeDocument/2006/relationships/printerSettings" Target="../printerSettings/printerSettings8.bin"/><Relationship Id="rId4" Type="http://schemas.openxmlformats.org/officeDocument/2006/relationships/hyperlink" Target="https://www.hartnell.edu/hr/hcfa_cba_2022-2025.pdf" TargetMode="External"/><Relationship Id="rId9" Type="http://schemas.openxmlformats.org/officeDocument/2006/relationships/hyperlink" Target="https://www.scccd.edu/_uploaded-files/documents/scccd-scft-agreement-2022-2025-05.9.23-accessible-copy.pdf" TargetMode="External"/><Relationship Id="rId14" Type="http://schemas.openxmlformats.org/officeDocument/2006/relationships/hyperlink" Target="https://www.vcccd.edu/sites/default/files/media/pdf_document/2023/2022-2025%20AFT%20-%20VCCCD%20Contract.pdf" TargetMode="External"/></Relationships>
</file>

<file path=xl/worksheets/_rels/sheet8.xml.rels><?xml version="1.0" encoding="UTF-8" standalone="yes"?>
<Relationships xmlns="http://schemas.openxmlformats.org/package/2006/relationships"><Relationship Id="rId8" Type="http://schemas.openxmlformats.org/officeDocument/2006/relationships/hyperlink" Target="https://www.cuesta.edu/about/documents/hr_docs/CCFT_COLLECTIVE_BARGAINING_AGREEMENT_2023-2025.pdf" TargetMode="External"/><Relationship Id="rId13" Type="http://schemas.openxmlformats.org/officeDocument/2006/relationships/hyperlink" Target="https://www.hancockcollege.edu/hr/documents/Final%20Faculty%20CBA%202024-2027.pdf" TargetMode="External"/><Relationship Id="rId18" Type="http://schemas.openxmlformats.org/officeDocument/2006/relationships/hyperlink" Target="https://www.scccd.edu/_uploaded-files/documents/scccd-scft-agreement-2022-2025-05.9.23-accessible-copy.pdf" TargetMode="External"/><Relationship Id="rId3" Type="http://schemas.openxmlformats.org/officeDocument/2006/relationships/hyperlink" Target="https://www.gavilan.edu/jobs/docs/FY-24-25-GCFA-COLLECTIVE-BARGAINING-AGREEMENT-Final.pdf" TargetMode="External"/><Relationship Id="rId21" Type="http://schemas.openxmlformats.org/officeDocument/2006/relationships/vmlDrawing" Target="../drawings/vmlDrawing2.vml"/><Relationship Id="rId7" Type="http://schemas.openxmlformats.org/officeDocument/2006/relationships/hyperlink" Target="https://drive.google.com/file/d/1TiCBNJXCz78mQDg0QFYWPd3Qg7388sOI/view" TargetMode="External"/><Relationship Id="rId12" Type="http://schemas.openxmlformats.org/officeDocument/2006/relationships/hyperlink" Target="https://www.yosemite.edu/hr/employeeforms/contracts_handbooks/yfa_collective_bargaining_agreement_2023_-_2026.pdf" TargetMode="External"/><Relationship Id="rId17" Type="http://schemas.openxmlformats.org/officeDocument/2006/relationships/hyperlink" Target="https://deltacollege.edu/sites/default/files/sjdcta_cba_2024-2027.pdf" TargetMode="External"/><Relationship Id="rId2" Type="http://schemas.openxmlformats.org/officeDocument/2006/relationships/hyperlink" Target="https://www.cos.edu/en-us/Documents/COSTA%20Master%20Agreement%20(2024-2027).pdf" TargetMode="External"/><Relationship Id="rId16" Type="http://schemas.openxmlformats.org/officeDocument/2006/relationships/hyperlink" Target="https://www.4cd.edu/hr/ufcontract/Final%202022-2025%20UF%20Contract.pdf" TargetMode="External"/><Relationship Id="rId20" Type="http://schemas.openxmlformats.org/officeDocument/2006/relationships/drawing" Target="../drawings/drawing8.xml"/><Relationship Id="rId1" Type="http://schemas.openxmlformats.org/officeDocument/2006/relationships/hyperlink" Target="https://drive.google.com/file/d/1bf8rRx3DxkG0Cpm3ps8VUd6PjQT3Jiyz/view" TargetMode="External"/><Relationship Id="rId6" Type="http://schemas.openxmlformats.org/officeDocument/2006/relationships/hyperlink" Target="https://www.mccd.edu/wp-content/uploads/2024/06/mcfa-2024-2027-agreement-final-signed-website-2.pdf" TargetMode="External"/><Relationship Id="rId11" Type="http://schemas.openxmlformats.org/officeDocument/2006/relationships/hyperlink" Target="https://westhillscollege.com/district/departments/human-resources/documents/cta_contract.pdf" TargetMode="External"/><Relationship Id="rId5" Type="http://schemas.openxmlformats.org/officeDocument/2006/relationships/hyperlink" Target="https://www.kccd.edu/human-resources/_documents/contracts/faculty/FINAL%20KCCD%20CCA%20Contract%20%202023-2026%20CBA%20-%20revised%2012.13.23.pdf" TargetMode="External"/><Relationship Id="rId15" Type="http://schemas.openxmlformats.org/officeDocument/2006/relationships/hyperlink" Target="https://employees.losrios.edu/shared/doc/hr/cba/lrcft/2024-2027/lrcft2023-2026.pdf" TargetMode="External"/><Relationship Id="rId23" Type="http://schemas.openxmlformats.org/officeDocument/2006/relationships/comments" Target="../comments2.xml"/><Relationship Id="rId10" Type="http://schemas.openxmlformats.org/officeDocument/2006/relationships/hyperlink" Target="https://www.taftcollege.edu/faculty-staff/resources/_files/docs/2023-26%20Faculty%20CBA%20FINAL.pdf" TargetMode="External"/><Relationship Id="rId19" Type="http://schemas.openxmlformats.org/officeDocument/2006/relationships/printerSettings" Target="../printerSettings/printerSettings9.bin"/><Relationship Id="rId4" Type="http://schemas.openxmlformats.org/officeDocument/2006/relationships/hyperlink" Target="https://www.hartnell.edu/hr/hcfa_cba_2022-2025.pdf" TargetMode="External"/><Relationship Id="rId9" Type="http://schemas.openxmlformats.org/officeDocument/2006/relationships/hyperlink" Target="https://www.scccd.edu/_uploaded-files/documents/scccd-scft-agreement-2022-2025-05.9.23-accessible-copy.pdf" TargetMode="External"/><Relationship Id="rId14" Type="http://schemas.openxmlformats.org/officeDocument/2006/relationships/hyperlink" Target="https://www.vcccd.edu/sites/default/files/media/pdf_document/2023/2022-2025%20AFT%20-%20VCCCD%20Contract.pdf" TargetMode="External"/><Relationship Id="rId22" Type="http://schemas.openxmlformats.org/officeDocument/2006/relationships/table" Target="../tables/table10.xml"/></Relationships>
</file>

<file path=xl/worksheets/_rels/sheet9.xml.rels><?xml version="1.0" encoding="UTF-8" standalone="yes"?>
<Relationships xmlns="http://schemas.openxmlformats.org/package/2006/relationships"><Relationship Id="rId8" Type="http://schemas.openxmlformats.org/officeDocument/2006/relationships/hyperlink" Target="https://www.cuesta.edu/about/documents/hr_docs/CCFT_COLLECTIVE_BARGAINING_AGREEMENT_2023-2025.pdf" TargetMode="External"/><Relationship Id="rId13" Type="http://schemas.openxmlformats.org/officeDocument/2006/relationships/hyperlink" Target="https://www.hancockcollege.edu/hr/documents/Final%20Faculty%20CBA%202024-2027.pdf" TargetMode="External"/><Relationship Id="rId18" Type="http://schemas.openxmlformats.org/officeDocument/2006/relationships/hyperlink" Target="https://www.scccd.edu/_uploaded-files/documents/scccd-scft-agreement-2022-2025-05.9.23-accessible-copy.pdf" TargetMode="External"/><Relationship Id="rId3" Type="http://schemas.openxmlformats.org/officeDocument/2006/relationships/hyperlink" Target="https://www.gavilan.edu/jobs/docs/FY-24-25-GCFA-COLLECTIVE-BARGAINING-AGREEMENT-Final.pdf" TargetMode="External"/><Relationship Id="rId21" Type="http://schemas.openxmlformats.org/officeDocument/2006/relationships/vmlDrawing" Target="../drawings/vmlDrawing3.vml"/><Relationship Id="rId7" Type="http://schemas.openxmlformats.org/officeDocument/2006/relationships/hyperlink" Target="https://drive.google.com/file/d/1TiCBNJXCz78mQDg0QFYWPd3Qg7388sOI/view" TargetMode="External"/><Relationship Id="rId12" Type="http://schemas.openxmlformats.org/officeDocument/2006/relationships/hyperlink" Target="https://www.yosemite.edu/hr/employeeforms/contracts_handbooks/yfa_collective_bargaining_agreement_2023_-_2026.pdf" TargetMode="External"/><Relationship Id="rId17" Type="http://schemas.openxmlformats.org/officeDocument/2006/relationships/hyperlink" Target="https://deltacollege.edu/sites/default/files/sjdcta_cba_2024-2027.pdf" TargetMode="External"/><Relationship Id="rId2" Type="http://schemas.openxmlformats.org/officeDocument/2006/relationships/hyperlink" Target="https://www.cos.edu/en-us/Documents/COSTA%20Master%20Agreement%20(2024-2027).pdf" TargetMode="External"/><Relationship Id="rId16" Type="http://schemas.openxmlformats.org/officeDocument/2006/relationships/hyperlink" Target="https://www.4cd.edu/hr/ufcontract/Final%202022-2025%20UF%20Contract.pdf" TargetMode="External"/><Relationship Id="rId20" Type="http://schemas.openxmlformats.org/officeDocument/2006/relationships/drawing" Target="../drawings/drawing9.xml"/><Relationship Id="rId1" Type="http://schemas.openxmlformats.org/officeDocument/2006/relationships/hyperlink" Target="https://drive.google.com/file/d/1bf8rRx3DxkG0Cpm3ps8VUd6PjQT3Jiyz/view" TargetMode="External"/><Relationship Id="rId6" Type="http://schemas.openxmlformats.org/officeDocument/2006/relationships/hyperlink" Target="https://www.mccd.edu/wp-content/uploads/2024/06/mcfa-2024-2027-agreement-final-signed-website-2.pdf" TargetMode="External"/><Relationship Id="rId11" Type="http://schemas.openxmlformats.org/officeDocument/2006/relationships/hyperlink" Target="https://westhillscollege.com/district/departments/human-resources/documents/cta_contract.pdf" TargetMode="External"/><Relationship Id="rId5" Type="http://schemas.openxmlformats.org/officeDocument/2006/relationships/hyperlink" Target="https://www.kccd.edu/human-resources/_documents/contracts/faculty/FINAL%20KCCD%20CCA%20Contract%20%202023-2026%20CBA%20-%20revised%2012.13.23.pdf" TargetMode="External"/><Relationship Id="rId15" Type="http://schemas.openxmlformats.org/officeDocument/2006/relationships/hyperlink" Target="https://employees.losrios.edu/shared/doc/hr/cba/lrcft/2024-2027/lrcft2023-2026.pdf" TargetMode="External"/><Relationship Id="rId23" Type="http://schemas.openxmlformats.org/officeDocument/2006/relationships/comments" Target="../comments3.xml"/><Relationship Id="rId10" Type="http://schemas.openxmlformats.org/officeDocument/2006/relationships/hyperlink" Target="https://www.taftcollege.edu/faculty-staff/resources/_files/docs/2023-26%20Faculty%20CBA%20FINAL.pdf" TargetMode="External"/><Relationship Id="rId19" Type="http://schemas.openxmlformats.org/officeDocument/2006/relationships/printerSettings" Target="../printerSettings/printerSettings10.bin"/><Relationship Id="rId4" Type="http://schemas.openxmlformats.org/officeDocument/2006/relationships/hyperlink" Target="https://www.hartnell.edu/hr/hcfa_cba_2022-2025.pdf" TargetMode="External"/><Relationship Id="rId9" Type="http://schemas.openxmlformats.org/officeDocument/2006/relationships/hyperlink" Target="https://www.scccd.edu/_uploaded-files/documents/scccd-scft-agreement-2022-2025-05.9.23-accessible-copy.pdf" TargetMode="External"/><Relationship Id="rId14" Type="http://schemas.openxmlformats.org/officeDocument/2006/relationships/hyperlink" Target="https://www.vcccd.edu/sites/default/files/media/pdf_document/2023/2022-2025%20AFT%20-%20VCCCD%20Contract.pdf" TargetMode="External"/><Relationship Id="rId22" Type="http://schemas.openxmlformats.org/officeDocument/2006/relationships/table" Target="../tables/table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Y72"/>
  <sheetViews>
    <sheetView tabSelected="1" showRuler="0" topLeftCell="A19" zoomScale="80" zoomScaleNormal="80" zoomScalePageLayoutView="85" workbookViewId="0">
      <selection activeCell="A11" sqref="A11"/>
    </sheetView>
  </sheetViews>
  <sheetFormatPr defaultColWidth="9.140625" defaultRowHeight="15.75" x14ac:dyDescent="0.25"/>
  <cols>
    <col min="1" max="1" width="6" style="86" customWidth="1"/>
    <col min="2" max="2" width="56.7109375" style="84" customWidth="1"/>
    <col min="3" max="3" width="21" style="82" customWidth="1"/>
    <col min="4" max="4" width="14.5703125" style="82" customWidth="1"/>
    <col min="5" max="5" width="29.5703125" style="82" customWidth="1"/>
    <col min="6" max="6" width="12.42578125" style="82" customWidth="1"/>
    <col min="7" max="7" width="35.140625" style="98" customWidth="1"/>
    <col min="8" max="8" width="22.28515625" style="98" customWidth="1"/>
    <col min="9" max="9" width="20" style="98" customWidth="1"/>
    <col min="10" max="10" width="31.5703125" style="98" customWidth="1"/>
    <col min="11" max="11" width="35" style="98" customWidth="1"/>
    <col min="12" max="12" width="36.140625" style="98" customWidth="1"/>
    <col min="13" max="13" width="33.28515625" style="98" customWidth="1"/>
    <col min="14" max="14" width="35.5703125" style="98" customWidth="1"/>
    <col min="15" max="15" width="31" style="98" customWidth="1"/>
    <col min="16" max="16" width="30.7109375" style="98" customWidth="1"/>
    <col min="17" max="17" width="39.85546875" style="98" customWidth="1"/>
    <col min="18" max="18" width="39.42578125" style="98" customWidth="1"/>
    <col min="19" max="19" width="30" style="98" customWidth="1"/>
    <col min="20" max="20" width="29.140625" style="98" customWidth="1"/>
    <col min="21" max="21" width="25.85546875" style="98" customWidth="1"/>
    <col min="22" max="25" width="26.42578125" style="78" customWidth="1"/>
    <col min="26" max="16384" width="9.140625" style="78"/>
  </cols>
  <sheetData>
    <row r="1" spans="1:25" ht="37.5" customHeight="1" thickBot="1" x14ac:dyDescent="0.25">
      <c r="A1" s="512" t="s">
        <v>197</v>
      </c>
      <c r="B1" s="513"/>
      <c r="C1" s="513"/>
      <c r="D1" s="513"/>
      <c r="E1" s="513"/>
      <c r="F1" s="513"/>
      <c r="G1" s="513"/>
      <c r="H1" s="513"/>
      <c r="I1" s="513"/>
      <c r="J1" s="513"/>
      <c r="K1" s="513"/>
      <c r="L1" s="513"/>
      <c r="M1" s="513"/>
      <c r="N1" s="513"/>
      <c r="O1" s="513"/>
      <c r="P1" s="513"/>
      <c r="Q1" s="513"/>
      <c r="R1" s="268"/>
      <c r="S1" s="268"/>
      <c r="T1" s="268"/>
      <c r="U1" s="268"/>
      <c r="V1" s="268"/>
      <c r="W1" s="268"/>
      <c r="X1" s="268"/>
      <c r="Y1" s="268"/>
    </row>
    <row r="2" spans="1:25" s="79" customFormat="1" ht="57.75" customHeight="1" thickBot="1" x14ac:dyDescent="0.3">
      <c r="A2" s="135" t="s">
        <v>106</v>
      </c>
      <c r="B2" s="389" t="s">
        <v>29</v>
      </c>
      <c r="C2" s="390" t="s">
        <v>95</v>
      </c>
      <c r="D2" s="390" t="s">
        <v>98</v>
      </c>
      <c r="E2" s="390" t="s">
        <v>150</v>
      </c>
      <c r="F2" s="390" t="s">
        <v>14</v>
      </c>
      <c r="G2" s="390" t="s">
        <v>18</v>
      </c>
      <c r="H2" s="390" t="s">
        <v>143</v>
      </c>
      <c r="I2" s="291" t="s">
        <v>116</v>
      </c>
      <c r="J2" s="291" t="s">
        <v>117</v>
      </c>
      <c r="K2" s="291" t="s">
        <v>118</v>
      </c>
      <c r="L2" s="390" t="s">
        <v>97</v>
      </c>
      <c r="M2" s="390" t="s">
        <v>96</v>
      </c>
      <c r="N2" s="391" t="s">
        <v>173</v>
      </c>
      <c r="O2" s="391" t="s">
        <v>174</v>
      </c>
      <c r="P2" s="391" t="s">
        <v>175</v>
      </c>
      <c r="Q2" s="391" t="s">
        <v>172</v>
      </c>
      <c r="R2" s="391" t="s">
        <v>191</v>
      </c>
      <c r="S2" s="392" t="s">
        <v>171</v>
      </c>
      <c r="T2" s="392" t="s">
        <v>192</v>
      </c>
      <c r="U2" s="269"/>
      <c r="V2" s="269"/>
      <c r="W2" s="269"/>
    </row>
    <row r="3" spans="1:25" ht="14.25" customHeight="1" x14ac:dyDescent="0.2">
      <c r="A3" s="195">
        <v>1</v>
      </c>
      <c r="B3" s="316" t="s">
        <v>159</v>
      </c>
      <c r="C3" s="486" t="s">
        <v>167</v>
      </c>
      <c r="D3" s="487">
        <v>41.3</v>
      </c>
      <c r="E3" s="488">
        <v>10579.42</v>
      </c>
      <c r="F3" s="486">
        <v>99.6</v>
      </c>
      <c r="G3" s="459">
        <v>77769.240000000005</v>
      </c>
      <c r="H3" s="459">
        <v>88544.29</v>
      </c>
      <c r="I3" s="459">
        <v>104770.39</v>
      </c>
      <c r="J3" s="459">
        <v>120992.52</v>
      </c>
      <c r="K3" s="459">
        <v>146065.96</v>
      </c>
      <c r="L3" s="459">
        <v>184165.24</v>
      </c>
      <c r="M3" s="472">
        <f>184165.24+3314.12</f>
        <v>187479.36</v>
      </c>
      <c r="N3" s="489">
        <f>(0.6%*184165.24)+184165.24</f>
        <v>185270.23144</v>
      </c>
      <c r="O3" s="462">
        <f>N3-147346</f>
        <v>37924.231440000003</v>
      </c>
      <c r="P3" s="490">
        <f t="shared" ref="P3:P9" si="0">N3-155995.4</f>
        <v>29274.831440000009</v>
      </c>
      <c r="Q3" s="491">
        <f>147346-(147346*0.6%)</f>
        <v>146461.924</v>
      </c>
      <c r="R3" s="491">
        <f>155995.4-(155995.4*0.6%)</f>
        <v>155059.4276</v>
      </c>
      <c r="S3" s="246">
        <f>Q3-L3</f>
        <v>-37703.315999999992</v>
      </c>
      <c r="T3" s="246">
        <f>R3-L3</f>
        <v>-29105.812399999995</v>
      </c>
      <c r="U3" s="267"/>
      <c r="V3" s="267"/>
      <c r="W3" s="267"/>
    </row>
    <row r="4" spans="1:25" ht="15" x14ac:dyDescent="0.2">
      <c r="A4" s="145">
        <v>2</v>
      </c>
      <c r="B4" s="317" t="s">
        <v>134</v>
      </c>
      <c r="C4" s="318" t="s">
        <v>167</v>
      </c>
      <c r="D4" s="319">
        <v>108</v>
      </c>
      <c r="E4" s="320">
        <v>27620.36</v>
      </c>
      <c r="F4" s="321">
        <v>99.8</v>
      </c>
      <c r="G4" s="322">
        <v>89080.98</v>
      </c>
      <c r="H4" s="322">
        <v>95412.68</v>
      </c>
      <c r="I4" s="323">
        <v>107950.68</v>
      </c>
      <c r="J4" s="323">
        <v>130686.33</v>
      </c>
      <c r="K4" s="323">
        <v>154352.71</v>
      </c>
      <c r="L4" s="323">
        <v>154352.71</v>
      </c>
      <c r="M4" s="324">
        <v>166155.19</v>
      </c>
      <c r="N4" s="325">
        <f>154352.71+(154352.71*1.7%)</f>
        <v>156976.70606999999</v>
      </c>
      <c r="O4" s="377">
        <f>N4-147346</f>
        <v>9630.7060699999856</v>
      </c>
      <c r="P4" s="337">
        <f t="shared" si="0"/>
        <v>981.30606999999145</v>
      </c>
      <c r="Q4" s="325">
        <f>147346-(147346*1.6%)</f>
        <v>144988.46400000001</v>
      </c>
      <c r="R4" s="325">
        <f>155995.4-(155995.4*1.6%)</f>
        <v>153499.4736</v>
      </c>
      <c r="S4" s="338">
        <f>Q4-L4</f>
        <v>-9364.2459999999846</v>
      </c>
      <c r="T4" s="338">
        <f>R4-L4</f>
        <v>-853.23639999999432</v>
      </c>
      <c r="U4" s="267"/>
      <c r="V4" s="267"/>
      <c r="W4" s="267"/>
    </row>
    <row r="5" spans="1:25" ht="14.25" customHeight="1" x14ac:dyDescent="0.2">
      <c r="A5" s="145">
        <v>3</v>
      </c>
      <c r="B5" s="452" t="s">
        <v>136</v>
      </c>
      <c r="C5" s="492" t="s">
        <v>167</v>
      </c>
      <c r="D5" s="493">
        <v>124</v>
      </c>
      <c r="E5" s="494">
        <v>2065.94</v>
      </c>
      <c r="F5" s="492">
        <v>99.8</v>
      </c>
      <c r="G5" s="403">
        <v>66875</v>
      </c>
      <c r="H5" s="403">
        <v>73683</v>
      </c>
      <c r="I5" s="403">
        <v>92853</v>
      </c>
      <c r="J5" s="403">
        <v>118829</v>
      </c>
      <c r="K5" s="403">
        <v>141259</v>
      </c>
      <c r="L5" s="403">
        <v>149099</v>
      </c>
      <c r="M5" s="474">
        <f>149099+(149099*6%)+5040.31</f>
        <v>163085.25</v>
      </c>
      <c r="N5" s="495">
        <f>149099+(2.3%*149099)</f>
        <v>152528.277</v>
      </c>
      <c r="O5" s="337">
        <f>N5-147346</f>
        <v>5182.2770000000019</v>
      </c>
      <c r="P5" s="326">
        <f t="shared" si="0"/>
        <v>-3467.1229999999923</v>
      </c>
      <c r="Q5" s="496">
        <f>147346-(147346*2.2%)</f>
        <v>144104.38800000001</v>
      </c>
      <c r="R5" s="496">
        <f>155995.4-(155995.4*2.2%)</f>
        <v>152563.5012</v>
      </c>
      <c r="S5" s="338">
        <f>Q5-L5</f>
        <v>-4994.6119999999937</v>
      </c>
      <c r="T5" s="432">
        <f>R5-L5</f>
        <v>3464.5011999999988</v>
      </c>
      <c r="U5" s="267"/>
      <c r="V5" s="267"/>
      <c r="W5" s="267"/>
    </row>
    <row r="6" spans="1:25" ht="18.75" customHeight="1" x14ac:dyDescent="0.2">
      <c r="A6" s="145">
        <v>4</v>
      </c>
      <c r="B6" s="327" t="s">
        <v>142</v>
      </c>
      <c r="C6" s="449" t="s">
        <v>133</v>
      </c>
      <c r="D6" s="329">
        <v>60.5</v>
      </c>
      <c r="E6" s="330">
        <v>4990.62</v>
      </c>
      <c r="F6" s="328">
        <v>103.7</v>
      </c>
      <c r="G6" s="331">
        <v>69954</v>
      </c>
      <c r="H6" s="331">
        <v>75535</v>
      </c>
      <c r="I6" s="331">
        <v>89498</v>
      </c>
      <c r="J6" s="331">
        <v>103459</v>
      </c>
      <c r="K6" s="331">
        <v>142608</v>
      </c>
      <c r="L6" s="331">
        <v>160191</v>
      </c>
      <c r="M6" s="332">
        <f>160191+2500</f>
        <v>162691</v>
      </c>
      <c r="N6" s="333">
        <f>160191+(160191*0.6%)</f>
        <v>161152.14600000001</v>
      </c>
      <c r="O6" s="378">
        <f>N6-147346</f>
        <v>13806.146000000008</v>
      </c>
      <c r="P6" s="347">
        <f t="shared" si="0"/>
        <v>5156.7460000000137</v>
      </c>
      <c r="Q6" s="453">
        <f>147346-(147346*0.6%)</f>
        <v>146461.924</v>
      </c>
      <c r="R6" s="453">
        <f>155995.4-(155995.4*0.6%)</f>
        <v>155059.4276</v>
      </c>
      <c r="S6" s="500">
        <f>Q6-L6</f>
        <v>-13729.076000000001</v>
      </c>
      <c r="T6" s="504">
        <f>R6-L6</f>
        <v>-5131.5724000000046</v>
      </c>
      <c r="U6" s="267"/>
      <c r="V6" s="267"/>
      <c r="W6" s="267"/>
    </row>
    <row r="7" spans="1:25" ht="21" customHeight="1" x14ac:dyDescent="0.2">
      <c r="A7" s="145">
        <v>5</v>
      </c>
      <c r="B7" s="317" t="s">
        <v>139</v>
      </c>
      <c r="C7" s="318" t="s">
        <v>167</v>
      </c>
      <c r="D7" s="319">
        <v>59.1</v>
      </c>
      <c r="E7" s="320">
        <v>10751.99</v>
      </c>
      <c r="F7" s="318">
        <v>109.1</v>
      </c>
      <c r="G7" s="335">
        <v>69375</v>
      </c>
      <c r="H7" s="335">
        <v>72387</v>
      </c>
      <c r="I7" s="335">
        <v>87482</v>
      </c>
      <c r="J7" s="335">
        <v>109670</v>
      </c>
      <c r="K7" s="335">
        <v>126360</v>
      </c>
      <c r="L7" s="335">
        <v>154982</v>
      </c>
      <c r="M7" s="336">
        <f>154982+6442</f>
        <v>161424</v>
      </c>
      <c r="N7" s="325">
        <f>154982-(154982*6.6%)</f>
        <v>144753.18799999999</v>
      </c>
      <c r="O7" s="376">
        <f>N7- 147346</f>
        <v>-2592.8120000000054</v>
      </c>
      <c r="P7" s="326">
        <f t="shared" si="0"/>
        <v>-11242.212</v>
      </c>
      <c r="Q7" s="325">
        <f>147346+(147346*7.1%)</f>
        <v>157807.56599999999</v>
      </c>
      <c r="R7" s="325">
        <f>155995.4+(155995.4*7.1%)</f>
        <v>167071.07339999999</v>
      </c>
      <c r="S7" s="501">
        <f>Q7-L7</f>
        <v>2825.5659999999916</v>
      </c>
      <c r="T7" s="162">
        <f>R7-L7</f>
        <v>12089.073399999994</v>
      </c>
      <c r="U7" s="267"/>
      <c r="V7" s="267"/>
      <c r="W7" s="267"/>
    </row>
    <row r="8" spans="1:25" s="281" customFormat="1" ht="27.75" customHeight="1" x14ac:dyDescent="0.2">
      <c r="A8" s="145">
        <v>6</v>
      </c>
      <c r="B8" s="340" t="s">
        <v>181</v>
      </c>
      <c r="C8" s="341" t="s">
        <v>133</v>
      </c>
      <c r="D8" s="342">
        <v>0</v>
      </c>
      <c r="E8" s="343">
        <v>33650.519999999997</v>
      </c>
      <c r="F8" s="341">
        <v>103.7</v>
      </c>
      <c r="G8" s="344">
        <f>(71054 *3.3%)+71054</f>
        <v>73398.782000000007</v>
      </c>
      <c r="H8" s="344">
        <f>(75938 *3.3%)+75938</f>
        <v>78443.953999999998</v>
      </c>
      <c r="I8" s="344">
        <f>(94280*3.3%)+94280</f>
        <v>97391.24</v>
      </c>
      <c r="J8" s="344">
        <f>(116857*3.3%)+116857</f>
        <v>120713.281</v>
      </c>
      <c r="K8" s="344">
        <f>(140017*3.3%)+140017</f>
        <v>144637.56099999999</v>
      </c>
      <c r="L8" s="400">
        <f>(151012*3.3%)+151012</f>
        <v>155995.39600000001</v>
      </c>
      <c r="M8" s="401">
        <f>((151012+2419)*3.3%)+151012+2419</f>
        <v>158494.223</v>
      </c>
      <c r="N8" s="345">
        <v>155995.4</v>
      </c>
      <c r="O8" s="381">
        <f>0</f>
        <v>0</v>
      </c>
      <c r="P8" s="382">
        <f t="shared" si="0"/>
        <v>0</v>
      </c>
      <c r="Q8" s="499">
        <v>147346</v>
      </c>
      <c r="R8" s="393">
        <v>155995.4</v>
      </c>
      <c r="S8" s="364"/>
      <c r="T8" s="367">
        <v>0</v>
      </c>
      <c r="U8" s="280"/>
      <c r="V8" s="280"/>
      <c r="W8" s="280"/>
    </row>
    <row r="9" spans="1:25" ht="28.5" customHeight="1" x14ac:dyDescent="0.2">
      <c r="A9" s="279">
        <v>7</v>
      </c>
      <c r="B9" s="327" t="s">
        <v>157</v>
      </c>
      <c r="C9" s="328" t="s">
        <v>167</v>
      </c>
      <c r="D9" s="329">
        <v>132</v>
      </c>
      <c r="E9" s="330">
        <v>17412.54</v>
      </c>
      <c r="F9" s="346">
        <v>124.7</v>
      </c>
      <c r="G9" s="331">
        <v>72014</v>
      </c>
      <c r="H9" s="331">
        <v>72014</v>
      </c>
      <c r="I9" s="331">
        <v>90585</v>
      </c>
      <c r="J9" s="331">
        <v>109147</v>
      </c>
      <c r="K9" s="331">
        <v>136030</v>
      </c>
      <c r="L9" s="331">
        <v>147880</v>
      </c>
      <c r="M9" s="332">
        <v>151165</v>
      </c>
      <c r="N9" s="333">
        <f>147880-(147880*9.9%)</f>
        <v>133239.88</v>
      </c>
      <c r="O9" s="334">
        <f>N9-147346</f>
        <v>-14106.119999999995</v>
      </c>
      <c r="P9" s="334">
        <f t="shared" si="0"/>
        <v>-22755.51999999999</v>
      </c>
      <c r="Q9" s="333">
        <f>147346+(147346*11%)</f>
        <v>163554.06</v>
      </c>
      <c r="R9" s="333">
        <f>155995.4+(155995.4*11%)</f>
        <v>173154.894</v>
      </c>
      <c r="S9" s="363">
        <f t="shared" ref="S9:S20" si="1">Q9-L9</f>
        <v>15674.059999999998</v>
      </c>
      <c r="T9" s="363">
        <f>R9-L9</f>
        <v>25274.894</v>
      </c>
      <c r="U9" s="267"/>
      <c r="V9" s="267"/>
      <c r="W9" s="267"/>
    </row>
    <row r="10" spans="1:25" ht="27.75" customHeight="1" x14ac:dyDescent="0.2">
      <c r="A10" s="145">
        <v>8</v>
      </c>
      <c r="B10" s="348" t="s">
        <v>137</v>
      </c>
      <c r="C10" s="349" t="s">
        <v>133</v>
      </c>
      <c r="D10" s="350">
        <v>0</v>
      </c>
      <c r="E10" s="351">
        <v>33650.519999999997</v>
      </c>
      <c r="F10" s="349">
        <v>103.7</v>
      </c>
      <c r="G10" s="352">
        <v>71054</v>
      </c>
      <c r="H10" s="352">
        <v>75938</v>
      </c>
      <c r="I10" s="352">
        <v>94280</v>
      </c>
      <c r="J10" s="352">
        <v>116857</v>
      </c>
      <c r="K10" s="352">
        <v>140017</v>
      </c>
      <c r="L10" s="352">
        <v>147346</v>
      </c>
      <c r="M10" s="353">
        <f>147346+2419</f>
        <v>149765</v>
      </c>
      <c r="N10" s="354">
        <v>147346</v>
      </c>
      <c r="O10" s="362">
        <f>N10- 147346</f>
        <v>0</v>
      </c>
      <c r="P10" s="355"/>
      <c r="Q10" s="354">
        <v>147346</v>
      </c>
      <c r="R10" s="354">
        <v>155995.4</v>
      </c>
      <c r="S10" s="365">
        <f t="shared" si="1"/>
        <v>0</v>
      </c>
      <c r="T10" s="502"/>
      <c r="U10" s="267"/>
      <c r="V10" s="267"/>
      <c r="W10" s="267"/>
    </row>
    <row r="11" spans="1:25" ht="15" x14ac:dyDescent="0.2">
      <c r="A11" s="145">
        <v>9</v>
      </c>
      <c r="B11" s="327" t="s">
        <v>140</v>
      </c>
      <c r="C11" s="449" t="s">
        <v>133</v>
      </c>
      <c r="D11" s="329">
        <v>143</v>
      </c>
      <c r="E11" s="330">
        <v>7470.63</v>
      </c>
      <c r="F11" s="328">
        <v>151.9</v>
      </c>
      <c r="G11" s="331">
        <v>70608</v>
      </c>
      <c r="H11" s="331">
        <v>74431</v>
      </c>
      <c r="I11" s="331">
        <v>91255</v>
      </c>
      <c r="J11" s="331">
        <v>111904</v>
      </c>
      <c r="K11" s="331">
        <v>118541</v>
      </c>
      <c r="L11" s="331">
        <v>144970</v>
      </c>
      <c r="M11" s="332">
        <v>149154</v>
      </c>
      <c r="N11" s="333">
        <f>144970-(33.4%*144970)</f>
        <v>96550.02</v>
      </c>
      <c r="O11" s="334">
        <f t="shared" ref="O11:O16" si="2">N11-147346</f>
        <v>-50795.979999999996</v>
      </c>
      <c r="P11" s="334">
        <f t="shared" ref="P11:P20" si="3">N11-155995.4</f>
        <v>-59445.37999999999</v>
      </c>
      <c r="Q11" s="333">
        <f>147346+(147346*50.2%)</f>
        <v>221313.69199999998</v>
      </c>
      <c r="R11" s="333">
        <f>155995.4+(155995.4*50.2%)</f>
        <v>234305.09080000001</v>
      </c>
      <c r="S11" s="363">
        <f t="shared" si="1"/>
        <v>76343.691999999981</v>
      </c>
      <c r="T11" s="366">
        <f t="shared" ref="T11:T20" si="4">R11-L11</f>
        <v>89335.090800000005</v>
      </c>
      <c r="U11" s="267"/>
      <c r="V11" s="267"/>
      <c r="W11" s="267"/>
    </row>
    <row r="12" spans="1:25" ht="18.75" customHeight="1" x14ac:dyDescent="0.2">
      <c r="A12" s="145">
        <v>10</v>
      </c>
      <c r="B12" s="317" t="s">
        <v>135</v>
      </c>
      <c r="C12" s="450" t="s">
        <v>133</v>
      </c>
      <c r="D12" s="319">
        <v>119</v>
      </c>
      <c r="E12" s="320">
        <v>5151.26</v>
      </c>
      <c r="F12" s="318">
        <v>231</v>
      </c>
      <c r="G12" s="322">
        <v>67466.2</v>
      </c>
      <c r="H12" s="322">
        <v>71881.570000000007</v>
      </c>
      <c r="I12" s="322">
        <v>86349.69</v>
      </c>
      <c r="J12" s="322">
        <v>110497.14</v>
      </c>
      <c r="K12" s="322">
        <v>136697.17000000001</v>
      </c>
      <c r="L12" s="322">
        <v>139768.37</v>
      </c>
      <c r="M12" s="356">
        <f>143708.1+3939.7224</f>
        <v>147647.8224</v>
      </c>
      <c r="N12" s="325">
        <f>139768.37-(139768.37*39.8%)</f>
        <v>84140.558740000008</v>
      </c>
      <c r="O12" s="375">
        <f t="shared" si="2"/>
        <v>-63205.441259999992</v>
      </c>
      <c r="P12" s="326">
        <f t="shared" si="3"/>
        <v>-71854.841259999987</v>
      </c>
      <c r="Q12" s="357">
        <f>147346+(147346*66.1%)</f>
        <v>244741.70600000001</v>
      </c>
      <c r="R12" s="357">
        <f>155995.4+(155995.4*66.1%)</f>
        <v>259108.35939999996</v>
      </c>
      <c r="S12" s="182">
        <f t="shared" si="1"/>
        <v>104973.33600000001</v>
      </c>
      <c r="T12" s="182">
        <f t="shared" si="4"/>
        <v>119339.98939999996</v>
      </c>
      <c r="U12" s="267"/>
      <c r="V12" s="267"/>
      <c r="W12" s="267"/>
    </row>
    <row r="13" spans="1:25" ht="29.25" customHeight="1" x14ac:dyDescent="0.2">
      <c r="A13" s="145">
        <v>11</v>
      </c>
      <c r="B13" s="327" t="s">
        <v>132</v>
      </c>
      <c r="C13" s="328" t="s">
        <v>167</v>
      </c>
      <c r="D13" s="329">
        <v>139</v>
      </c>
      <c r="E13" s="330">
        <v>7576.35</v>
      </c>
      <c r="F13" s="328">
        <v>146.1</v>
      </c>
      <c r="G13" s="331">
        <v>68383</v>
      </c>
      <c r="H13" s="331">
        <v>71789</v>
      </c>
      <c r="I13" s="331">
        <v>88788</v>
      </c>
      <c r="J13" s="331">
        <v>112613</v>
      </c>
      <c r="K13" s="331">
        <v>141663</v>
      </c>
      <c r="L13" s="331">
        <v>141663</v>
      </c>
      <c r="M13" s="332">
        <v>145819</v>
      </c>
      <c r="N13" s="333">
        <f>141663-(141663*31.4%)</f>
        <v>97180.817999999999</v>
      </c>
      <c r="O13" s="334">
        <f t="shared" si="2"/>
        <v>-50165.182000000001</v>
      </c>
      <c r="P13" s="334">
        <f t="shared" si="3"/>
        <v>-58814.581999999995</v>
      </c>
      <c r="Q13" s="333">
        <f>147346+(147346*45.8%)</f>
        <v>214830.46799999999</v>
      </c>
      <c r="R13" s="333">
        <f>155995.4+(155995.4*45.8%)</f>
        <v>227441.29319999999</v>
      </c>
      <c r="S13" s="363">
        <f t="shared" si="1"/>
        <v>73167.467999999993</v>
      </c>
      <c r="T13" s="363">
        <f t="shared" si="4"/>
        <v>85778.293199999986</v>
      </c>
      <c r="U13" s="267"/>
      <c r="V13" s="267"/>
      <c r="W13" s="267"/>
    </row>
    <row r="14" spans="1:25" ht="15" x14ac:dyDescent="0.2">
      <c r="A14" s="145">
        <v>12</v>
      </c>
      <c r="B14" s="317" t="s">
        <v>131</v>
      </c>
      <c r="C14" s="321" t="s">
        <v>167</v>
      </c>
      <c r="D14" s="319">
        <v>150</v>
      </c>
      <c r="E14" s="320">
        <v>6375.57</v>
      </c>
      <c r="F14" s="318">
        <v>186</v>
      </c>
      <c r="G14" s="322">
        <v>70350</v>
      </c>
      <c r="H14" s="322">
        <v>72628</v>
      </c>
      <c r="I14" s="322">
        <v>88824</v>
      </c>
      <c r="J14" s="322">
        <v>110252</v>
      </c>
      <c r="K14" s="322">
        <v>131064</v>
      </c>
      <c r="L14" s="322">
        <v>140601</v>
      </c>
      <c r="M14" s="356">
        <f>140601+4697</f>
        <v>145298</v>
      </c>
      <c r="N14" s="357">
        <f>140601-(37.7%*140601)</f>
        <v>87594.42300000001</v>
      </c>
      <c r="O14" s="376">
        <f t="shared" si="2"/>
        <v>-59751.57699999999</v>
      </c>
      <c r="P14" s="326">
        <f t="shared" si="3"/>
        <v>-68400.976999999984</v>
      </c>
      <c r="Q14" s="325">
        <f>147346+(147346*60.4%)</f>
        <v>236342.984</v>
      </c>
      <c r="R14" s="325">
        <f>155995.4+(155995.4*60.4%)</f>
        <v>250216.62159999998</v>
      </c>
      <c r="S14" s="303">
        <f t="shared" si="1"/>
        <v>95741.983999999997</v>
      </c>
      <c r="T14" s="162">
        <f t="shared" si="4"/>
        <v>109615.62159999998</v>
      </c>
      <c r="U14" s="267"/>
      <c r="V14" s="267"/>
      <c r="W14" s="267"/>
    </row>
    <row r="15" spans="1:25" ht="15" x14ac:dyDescent="0.2">
      <c r="A15" s="145">
        <v>13</v>
      </c>
      <c r="B15" s="452" t="s">
        <v>141</v>
      </c>
      <c r="C15" s="492" t="s">
        <v>167</v>
      </c>
      <c r="D15" s="360">
        <v>99</v>
      </c>
      <c r="E15" s="497">
        <v>15717</v>
      </c>
      <c r="F15" s="492">
        <v>116.3</v>
      </c>
      <c r="G15" s="403">
        <v>75979</v>
      </c>
      <c r="H15" s="403">
        <v>75979</v>
      </c>
      <c r="I15" s="462">
        <v>91432</v>
      </c>
      <c r="J15" s="462">
        <v>116603</v>
      </c>
      <c r="K15" s="462">
        <v>135685</v>
      </c>
      <c r="L15" s="462">
        <v>141835</v>
      </c>
      <c r="M15" s="476">
        <v>145028</v>
      </c>
      <c r="N15" s="496">
        <f>141835-(141835*7.2%)</f>
        <v>131622.88</v>
      </c>
      <c r="O15" s="326">
        <f t="shared" si="2"/>
        <v>-15723.119999999995</v>
      </c>
      <c r="P15" s="326">
        <f t="shared" si="3"/>
        <v>-24372.51999999999</v>
      </c>
      <c r="Q15" s="496">
        <f>147346+(147346*7.7%)</f>
        <v>158691.64199999999</v>
      </c>
      <c r="R15" s="496">
        <f>155995.4+(155995.4*7.7%)</f>
        <v>168007.04579999999</v>
      </c>
      <c r="S15" s="501">
        <f t="shared" si="1"/>
        <v>16856.641999999993</v>
      </c>
      <c r="T15" s="162">
        <f t="shared" si="4"/>
        <v>26172.045799999993</v>
      </c>
      <c r="U15" s="267"/>
      <c r="V15" s="267"/>
      <c r="W15" s="267"/>
    </row>
    <row r="16" spans="1:25" ht="15" x14ac:dyDescent="0.2">
      <c r="A16" s="145">
        <v>14</v>
      </c>
      <c r="B16" s="452" t="s">
        <v>151</v>
      </c>
      <c r="C16" s="492" t="s">
        <v>167</v>
      </c>
      <c r="D16" s="493">
        <v>173</v>
      </c>
      <c r="E16" s="494">
        <v>49357.22</v>
      </c>
      <c r="F16" s="492">
        <v>127.2</v>
      </c>
      <c r="G16" s="403">
        <v>55958</v>
      </c>
      <c r="H16" s="403">
        <v>61911</v>
      </c>
      <c r="I16" s="413">
        <v>80365</v>
      </c>
      <c r="J16" s="413">
        <v>104772</v>
      </c>
      <c r="K16" s="413">
        <v>133679</v>
      </c>
      <c r="L16" s="413">
        <v>137884</v>
      </c>
      <c r="M16" s="473">
        <v>143927</v>
      </c>
      <c r="N16" s="496">
        <f>137884-(137884*18.1%)</f>
        <v>112926.996</v>
      </c>
      <c r="O16" s="326">
        <f t="shared" si="2"/>
        <v>-34419.004000000001</v>
      </c>
      <c r="P16" s="326">
        <f t="shared" si="3"/>
        <v>-43068.403999999995</v>
      </c>
      <c r="Q16" s="495">
        <f>147346+(147346*22.1%)</f>
        <v>179909.46600000001</v>
      </c>
      <c r="R16" s="495">
        <f>155995.4+(155995.4*22.1%)</f>
        <v>190470.38339999999</v>
      </c>
      <c r="S16" s="182">
        <f t="shared" si="1"/>
        <v>42025.466000000015</v>
      </c>
      <c r="T16" s="182">
        <f t="shared" si="4"/>
        <v>52586.383399999992</v>
      </c>
      <c r="U16" s="498"/>
      <c r="V16" s="267"/>
      <c r="W16" s="267"/>
    </row>
    <row r="17" spans="1:23" ht="15" x14ac:dyDescent="0.2">
      <c r="A17" s="145">
        <v>15</v>
      </c>
      <c r="B17" s="327" t="s">
        <v>153</v>
      </c>
      <c r="C17" s="449" t="s">
        <v>133</v>
      </c>
      <c r="D17" s="329">
        <v>222</v>
      </c>
      <c r="E17" s="330">
        <v>26014.560000000001</v>
      </c>
      <c r="F17" s="328">
        <v>154</v>
      </c>
      <c r="G17" s="331">
        <v>61599</v>
      </c>
      <c r="H17" s="331">
        <v>61599</v>
      </c>
      <c r="I17" s="358">
        <v>76997</v>
      </c>
      <c r="J17" s="358">
        <v>92393</v>
      </c>
      <c r="K17" s="358">
        <v>122569.3</v>
      </c>
      <c r="L17" s="358">
        <v>132423.79999999999</v>
      </c>
      <c r="M17" s="359">
        <v>138585.79999999999</v>
      </c>
      <c r="N17" s="333">
        <f>132423.8-(132423.8*25.5%)</f>
        <v>98655.731</v>
      </c>
      <c r="O17" s="334">
        <f>147346-N17</f>
        <v>48690.269</v>
      </c>
      <c r="P17" s="334">
        <f t="shared" si="3"/>
        <v>-57339.668999999994</v>
      </c>
      <c r="Q17" s="339">
        <f>147346+(147346*34.3%)</f>
        <v>197885.67799999999</v>
      </c>
      <c r="R17" s="339">
        <f>155995.4+(155995.4*34.3%)</f>
        <v>209501.8222</v>
      </c>
      <c r="S17" s="363">
        <f t="shared" si="1"/>
        <v>65461.877999999997</v>
      </c>
      <c r="T17" s="363">
        <f t="shared" si="4"/>
        <v>77078.022200000007</v>
      </c>
      <c r="U17" s="267"/>
      <c r="V17" s="267"/>
      <c r="W17" s="267"/>
    </row>
    <row r="18" spans="1:23" ht="30" x14ac:dyDescent="0.2">
      <c r="A18" s="145">
        <v>16</v>
      </c>
      <c r="B18" s="317" t="s">
        <v>138</v>
      </c>
      <c r="C18" s="318" t="s">
        <v>167</v>
      </c>
      <c r="D18" s="319">
        <v>155</v>
      </c>
      <c r="E18" s="320">
        <v>5706.98</v>
      </c>
      <c r="F18" s="318">
        <v>151.9</v>
      </c>
      <c r="G18" s="322">
        <v>63492</v>
      </c>
      <c r="H18" s="322">
        <v>73964</v>
      </c>
      <c r="I18" s="322">
        <v>89832</v>
      </c>
      <c r="J18" s="322">
        <v>110947</v>
      </c>
      <c r="K18" s="322">
        <v>135222</v>
      </c>
      <c r="L18" s="322">
        <f>135222+2332</f>
        <v>137554</v>
      </c>
      <c r="M18" s="356">
        <f>135222+3290</f>
        <v>138512</v>
      </c>
      <c r="N18" s="325">
        <f>137554-(137554*33.5%)</f>
        <v>91473.41</v>
      </c>
      <c r="O18" s="376">
        <f>N18-147346</f>
        <v>-55872.59</v>
      </c>
      <c r="P18" s="326">
        <f t="shared" si="3"/>
        <v>-64521.989999999991</v>
      </c>
      <c r="Q18" s="357">
        <f>147346+(147346*50.5%)</f>
        <v>221755.72999999998</v>
      </c>
      <c r="R18" s="357">
        <f>155995.4+(155995.4*50.5%)</f>
        <v>234773.07699999999</v>
      </c>
      <c r="S18" s="182">
        <f t="shared" si="1"/>
        <v>84201.729999999981</v>
      </c>
      <c r="T18" s="503">
        <f t="shared" si="4"/>
        <v>97219.07699999999</v>
      </c>
      <c r="U18" s="267"/>
      <c r="V18" s="267"/>
      <c r="W18" s="267"/>
    </row>
    <row r="19" spans="1:23" ht="22.5" customHeight="1" x14ac:dyDescent="0.2">
      <c r="A19" s="86">
        <v>17</v>
      </c>
      <c r="B19" s="327" t="s">
        <v>154</v>
      </c>
      <c r="C19" s="449" t="s">
        <v>133</v>
      </c>
      <c r="D19" s="329">
        <v>176</v>
      </c>
      <c r="E19" s="330">
        <v>26295.23</v>
      </c>
      <c r="F19" s="328">
        <v>174.9</v>
      </c>
      <c r="G19" s="331">
        <v>68136</v>
      </c>
      <c r="H19" s="331">
        <v>75012</v>
      </c>
      <c r="I19" s="358">
        <v>84396</v>
      </c>
      <c r="J19" s="358">
        <v>106260</v>
      </c>
      <c r="K19" s="358">
        <v>126300</v>
      </c>
      <c r="L19" s="358">
        <v>132264</v>
      </c>
      <c r="M19" s="361">
        <v>132264</v>
      </c>
      <c r="N19" s="333">
        <f>132264-(132264*24%)</f>
        <v>100520.64</v>
      </c>
      <c r="O19" s="334">
        <f>N19-147346</f>
        <v>-46825.36</v>
      </c>
      <c r="P19" s="334">
        <f t="shared" si="3"/>
        <v>-55474.759999999995</v>
      </c>
      <c r="Q19" s="333">
        <f>147346+(147346*31.6%)</f>
        <v>193907.33600000001</v>
      </c>
      <c r="R19" s="333">
        <f>155995.4+(155955.4*31.6%)</f>
        <v>205277.3064</v>
      </c>
      <c r="S19" s="363">
        <f t="shared" si="1"/>
        <v>61643.33600000001</v>
      </c>
      <c r="T19" s="366">
        <f t="shared" si="4"/>
        <v>73013.306400000001</v>
      </c>
      <c r="U19" s="267"/>
      <c r="V19" s="267"/>
      <c r="W19" s="267"/>
    </row>
    <row r="20" spans="1:23" ht="20.25" customHeight="1" thickBot="1" x14ac:dyDescent="0.25">
      <c r="A20" s="196">
        <v>18</v>
      </c>
      <c r="B20" s="317" t="s">
        <v>152</v>
      </c>
      <c r="C20" s="450" t="s">
        <v>133</v>
      </c>
      <c r="D20" s="319">
        <v>165</v>
      </c>
      <c r="E20" s="320">
        <v>8993.9</v>
      </c>
      <c r="F20" s="318">
        <v>154.69999999999999</v>
      </c>
      <c r="G20" s="322">
        <v>66760</v>
      </c>
      <c r="H20" s="322">
        <v>71099</v>
      </c>
      <c r="I20" s="323">
        <v>84037</v>
      </c>
      <c r="J20" s="323">
        <v>102134</v>
      </c>
      <c r="K20" s="323">
        <v>127485</v>
      </c>
      <c r="L20" s="323">
        <v>127485</v>
      </c>
      <c r="M20" s="324">
        <v>129985</v>
      </c>
      <c r="N20" s="325">
        <f>127485-(127485*31.9%)</f>
        <v>86817.285000000003</v>
      </c>
      <c r="O20" s="338">
        <f>N20-147346</f>
        <v>-60528.714999999997</v>
      </c>
      <c r="P20" s="338">
        <f t="shared" si="3"/>
        <v>-69178.114999999991</v>
      </c>
      <c r="Q20" s="357">
        <f>147346+(147346*46.9%)</f>
        <v>216451.27399999998</v>
      </c>
      <c r="R20" s="357">
        <f>155995.4+(155995.4*46.9%)</f>
        <v>229157.2426</v>
      </c>
      <c r="S20" s="182">
        <f t="shared" si="1"/>
        <v>88966.273999999976</v>
      </c>
      <c r="T20" s="182">
        <f t="shared" si="4"/>
        <v>101672.2426</v>
      </c>
      <c r="U20" s="267"/>
      <c r="V20" s="267"/>
      <c r="W20" s="267"/>
    </row>
    <row r="21" spans="1:23" s="126" customFormat="1" ht="48" customHeight="1" thickBot="1" x14ac:dyDescent="0.3">
      <c r="A21" s="235"/>
      <c r="B21" s="273" t="s">
        <v>107</v>
      </c>
      <c r="C21" s="274"/>
      <c r="D21" s="275">
        <f>AVERAGE(D3:D17)</f>
        <v>104.66000000000001</v>
      </c>
      <c r="E21" s="276">
        <f>AVERAGE(E3:E17)</f>
        <v>17225.633333333335</v>
      </c>
      <c r="F21" s="275">
        <f>AVERAGE(F3:F17)</f>
        <v>130.44</v>
      </c>
      <c r="G21" s="277">
        <f>AVERAGE(G3:G17)</f>
        <v>70657.613466666677</v>
      </c>
      <c r="H21" s="277">
        <f>AVERAGE(H3:H17)</f>
        <v>74811.766266666658</v>
      </c>
      <c r="I21" s="277">
        <f t="shared" ref="I21:P21" si="5">AVERAGE(I5:I17)</f>
        <v>88930.763846153844</v>
      </c>
      <c r="J21" s="277">
        <f t="shared" si="5"/>
        <v>110593.03238461539</v>
      </c>
      <c r="K21" s="277">
        <f t="shared" si="5"/>
        <v>134677.69469230768</v>
      </c>
      <c r="L21" s="277">
        <f t="shared" si="5"/>
        <v>145741.42815384615</v>
      </c>
      <c r="M21" s="277">
        <f t="shared" si="5"/>
        <v>150929.54579999999</v>
      </c>
      <c r="N21" s="277">
        <f t="shared" si="5"/>
        <v>123360.48597999998</v>
      </c>
      <c r="O21" s="379">
        <f t="shared" si="5"/>
        <v>-17160.041866153842</v>
      </c>
      <c r="P21" s="379">
        <f t="shared" si="5"/>
        <v>-34633.706854999997</v>
      </c>
      <c r="Q21" s="277">
        <f>AVERAGE(Q5:Q17)</f>
        <v>181564.27492307688</v>
      </c>
      <c r="R21" s="277">
        <f>AVERAGE(R5:R17)</f>
        <v>192222.33173846154</v>
      </c>
      <c r="S21" s="277">
        <f>AVERAGE(S5:S17)</f>
        <v>39528.866999999998</v>
      </c>
      <c r="T21" s="277">
        <f>AVERAGE(T5:T17)</f>
        <v>49633.528549999988</v>
      </c>
      <c r="U21" s="267"/>
      <c r="V21" s="267"/>
      <c r="W21" s="267"/>
    </row>
    <row r="22" spans="1:23" ht="16.5" thickBot="1" x14ac:dyDescent="0.3">
      <c r="A22" s="114"/>
      <c r="B22" s="123" t="s">
        <v>108</v>
      </c>
      <c r="C22" s="203"/>
      <c r="D22" s="163">
        <f>MEDIAN(D3:D17)</f>
        <v>119</v>
      </c>
      <c r="E22" s="189">
        <f>MEDIAN(E3:E17)</f>
        <v>10751.99</v>
      </c>
      <c r="F22" s="163">
        <f>MEDIAN(F3:F17)</f>
        <v>116.3</v>
      </c>
      <c r="G22" s="144">
        <f>MEDIAN(G3:G17)</f>
        <v>70350</v>
      </c>
      <c r="H22" s="144">
        <f>MEDIAN(H3:H17)</f>
        <v>73683</v>
      </c>
      <c r="I22" s="144">
        <f t="shared" ref="I22:S22" si="6">MEDIAN(I5:I17)</f>
        <v>89498</v>
      </c>
      <c r="J22" s="144">
        <f t="shared" si="6"/>
        <v>110497.14</v>
      </c>
      <c r="K22" s="144">
        <f t="shared" si="6"/>
        <v>136030</v>
      </c>
      <c r="L22" s="144">
        <f t="shared" si="6"/>
        <v>144970</v>
      </c>
      <c r="M22" s="144">
        <f t="shared" si="6"/>
        <v>149154</v>
      </c>
      <c r="N22" s="164">
        <f t="shared" si="6"/>
        <v>131622.88</v>
      </c>
      <c r="O22" s="380">
        <f t="shared" si="6"/>
        <v>-14106.119999999995</v>
      </c>
      <c r="P22" s="380">
        <f t="shared" ref="P22" si="7">MEDIAN(P5:P17)</f>
        <v>-33720.461999999992</v>
      </c>
      <c r="Q22" s="164">
        <f t="shared" si="6"/>
        <v>163554.06</v>
      </c>
      <c r="R22" s="164">
        <f t="shared" ref="R22" si="8">MEDIAN(R5:R17)</f>
        <v>173154.894</v>
      </c>
      <c r="S22" s="164">
        <f t="shared" si="6"/>
        <v>29441.054000000004</v>
      </c>
      <c r="T22" s="164">
        <f t="shared" ref="T22" si="9">MEDIAN(T5:T17)</f>
        <v>39379.214599999992</v>
      </c>
      <c r="U22" s="105"/>
      <c r="V22" s="105"/>
      <c r="W22" s="105"/>
    </row>
    <row r="23" spans="1:23" ht="45.75" customHeight="1" thickBot="1" x14ac:dyDescent="0.25">
      <c r="B23" s="485" t="s">
        <v>160</v>
      </c>
      <c r="C23" s="484" t="s">
        <v>196</v>
      </c>
      <c r="D23" s="111"/>
      <c r="E23" s="111"/>
      <c r="F23" s="111"/>
      <c r="G23" s="105"/>
      <c r="H23" s="105"/>
      <c r="I23" s="105"/>
      <c r="J23" s="105"/>
      <c r="K23" s="105"/>
      <c r="L23" s="520" t="s">
        <v>184</v>
      </c>
      <c r="M23" s="521"/>
      <c r="N23" s="517" t="s">
        <v>102</v>
      </c>
      <c r="O23" s="518"/>
      <c r="P23" s="519"/>
      <c r="Q23" s="517" t="s">
        <v>16</v>
      </c>
      <c r="R23" s="518"/>
      <c r="S23" s="518"/>
      <c r="T23" s="519"/>
      <c r="U23" s="105"/>
      <c r="V23" s="105"/>
      <c r="W23" s="105"/>
    </row>
    <row r="24" spans="1:23" ht="195.75" customHeight="1" thickBot="1" x14ac:dyDescent="0.3">
      <c r="I24" s="97"/>
      <c r="J24" s="97"/>
      <c r="K24" s="97"/>
      <c r="L24" s="97"/>
      <c r="M24" s="97"/>
      <c r="N24" s="514" t="s">
        <v>178</v>
      </c>
      <c r="O24" s="515"/>
      <c r="P24" s="516"/>
      <c r="Q24" s="514" t="s">
        <v>179</v>
      </c>
      <c r="R24" s="515"/>
      <c r="S24" s="515"/>
      <c r="T24" s="516"/>
      <c r="U24" s="112"/>
      <c r="V24" s="113"/>
      <c r="W24" s="104"/>
    </row>
    <row r="25" spans="1:23" ht="18.75" thickBot="1" x14ac:dyDescent="0.3">
      <c r="A25" s="523" t="s">
        <v>19</v>
      </c>
      <c r="B25" s="524"/>
      <c r="C25" s="525"/>
      <c r="F25" s="523" t="s">
        <v>124</v>
      </c>
      <c r="G25" s="524"/>
      <c r="H25" s="525"/>
      <c r="I25" s="84"/>
      <c r="J25" s="523" t="s">
        <v>125</v>
      </c>
      <c r="K25" s="524"/>
      <c r="L25" s="525"/>
      <c r="M25" s="84"/>
      <c r="N25" s="523" t="s">
        <v>20</v>
      </c>
      <c r="O25" s="524"/>
      <c r="P25" s="525"/>
      <c r="R25" s="505" t="s">
        <v>149</v>
      </c>
      <c r="S25" s="506"/>
      <c r="T25" s="506"/>
      <c r="U25" s="506"/>
      <c r="V25" s="507"/>
    </row>
    <row r="26" spans="1:23" ht="36" thickBot="1" x14ac:dyDescent="0.25">
      <c r="A26" s="127" t="s">
        <v>106</v>
      </c>
      <c r="B26" s="290" t="s">
        <v>29</v>
      </c>
      <c r="C26" s="291" t="s">
        <v>19</v>
      </c>
      <c r="D26" s="79"/>
      <c r="E26" s="79"/>
      <c r="F26" s="127" t="s">
        <v>106</v>
      </c>
      <c r="G26" s="290" t="s">
        <v>29</v>
      </c>
      <c r="H26" s="292" t="s">
        <v>161</v>
      </c>
      <c r="J26" s="127" t="s">
        <v>106</v>
      </c>
      <c r="K26" s="290" t="s">
        <v>29</v>
      </c>
      <c r="L26" s="292" t="s">
        <v>162</v>
      </c>
      <c r="M26" s="102"/>
      <c r="N26" s="127" t="s">
        <v>106</v>
      </c>
      <c r="O26" s="142" t="s">
        <v>29</v>
      </c>
      <c r="P26" s="165" t="s">
        <v>126</v>
      </c>
      <c r="R26" s="135"/>
      <c r="S26" s="190" t="s">
        <v>127</v>
      </c>
      <c r="T26" s="190" t="s">
        <v>128</v>
      </c>
      <c r="U26" s="191" t="s">
        <v>129</v>
      </c>
      <c r="V26" s="190" t="s">
        <v>130</v>
      </c>
    </row>
    <row r="27" spans="1:23" ht="45.75" thickBot="1" x14ac:dyDescent="0.25">
      <c r="A27" s="282">
        <v>1</v>
      </c>
      <c r="B27" s="278" t="s">
        <v>181</v>
      </c>
      <c r="C27" s="297">
        <v>178</v>
      </c>
      <c r="D27" s="204"/>
      <c r="E27" s="87"/>
      <c r="F27" s="195">
        <v>1</v>
      </c>
      <c r="G27" s="198" t="s">
        <v>134</v>
      </c>
      <c r="H27" s="283">
        <f>89080.98/175</f>
        <v>509.03417142857143</v>
      </c>
      <c r="I27" s="97"/>
      <c r="J27" s="155">
        <v>1</v>
      </c>
      <c r="K27" s="198" t="s">
        <v>159</v>
      </c>
      <c r="L27" s="293">
        <f>187479.36/175</f>
        <v>1071.3106285714284</v>
      </c>
      <c r="M27" s="103"/>
      <c r="N27" s="155">
        <v>1</v>
      </c>
      <c r="O27" s="198" t="s">
        <v>134</v>
      </c>
      <c r="P27" s="184">
        <v>1</v>
      </c>
      <c r="R27" s="174">
        <v>1</v>
      </c>
      <c r="S27" s="199" t="s">
        <v>151</v>
      </c>
      <c r="T27" s="192">
        <v>49317.34</v>
      </c>
      <c r="U27" s="192">
        <v>39.880000000000003</v>
      </c>
      <c r="V27" s="186">
        <v>49357.22</v>
      </c>
    </row>
    <row r="28" spans="1:23" ht="45" x14ac:dyDescent="0.2">
      <c r="A28" s="206">
        <v>1</v>
      </c>
      <c r="B28" s="207" t="s">
        <v>169</v>
      </c>
      <c r="C28" s="298">
        <v>178</v>
      </c>
      <c r="D28" s="204"/>
      <c r="E28" s="88"/>
      <c r="F28" s="145">
        <v>2</v>
      </c>
      <c r="G28" s="198" t="s">
        <v>159</v>
      </c>
      <c r="H28" s="284">
        <f>77769.24/175</f>
        <v>444.39565714285715</v>
      </c>
      <c r="J28" s="156">
        <v>2</v>
      </c>
      <c r="K28" s="198" t="s">
        <v>134</v>
      </c>
      <c r="L28" s="284">
        <f>165155.19/175</f>
        <v>943.74394285714288</v>
      </c>
      <c r="M28" s="103"/>
      <c r="N28" s="156">
        <v>2</v>
      </c>
      <c r="O28" s="201" t="s">
        <v>152</v>
      </c>
      <c r="P28" s="184">
        <v>1</v>
      </c>
      <c r="R28" s="229">
        <v>2</v>
      </c>
      <c r="S28" s="207" t="s">
        <v>137</v>
      </c>
      <c r="T28" s="230">
        <v>33151.949999999997</v>
      </c>
      <c r="U28" s="230">
        <v>498.57</v>
      </c>
      <c r="V28" s="231">
        <v>33650.519999999997</v>
      </c>
    </row>
    <row r="29" spans="1:23" ht="61.5" customHeight="1" x14ac:dyDescent="0.2">
      <c r="A29" s="145">
        <v>2</v>
      </c>
      <c r="B29" s="199" t="s">
        <v>142</v>
      </c>
      <c r="C29" s="299">
        <v>177</v>
      </c>
      <c r="D29" s="204"/>
      <c r="E29" s="89"/>
      <c r="F29" s="145">
        <v>3</v>
      </c>
      <c r="G29" s="199" t="s">
        <v>141</v>
      </c>
      <c r="H29" s="284">
        <f>75979/175</f>
        <v>434.16571428571427</v>
      </c>
      <c r="J29" s="156">
        <v>3</v>
      </c>
      <c r="K29" s="253" t="s">
        <v>136</v>
      </c>
      <c r="L29" s="284">
        <f>163085.25/175</f>
        <v>931.91571428571433</v>
      </c>
      <c r="M29" s="103"/>
      <c r="N29" s="156">
        <v>3</v>
      </c>
      <c r="O29" s="201" t="s">
        <v>159</v>
      </c>
      <c r="P29" s="184">
        <v>0.9</v>
      </c>
      <c r="R29" s="174">
        <v>3</v>
      </c>
      <c r="S29" s="198" t="s">
        <v>134</v>
      </c>
      <c r="T29" s="192">
        <v>27199.27</v>
      </c>
      <c r="U29" s="192">
        <v>421.09</v>
      </c>
      <c r="V29" s="186">
        <v>27620.36</v>
      </c>
    </row>
    <row r="30" spans="1:23" ht="45" x14ac:dyDescent="0.2">
      <c r="A30" s="145">
        <v>3</v>
      </c>
      <c r="B30" s="198" t="s">
        <v>138</v>
      </c>
      <c r="C30" s="299">
        <v>175.5</v>
      </c>
      <c r="D30" s="204"/>
      <c r="E30" s="89"/>
      <c r="F30" s="145">
        <v>4</v>
      </c>
      <c r="G30" s="278" t="s">
        <v>188</v>
      </c>
      <c r="H30" s="285">
        <f>73398.78/178</f>
        <v>412.35269662921348</v>
      </c>
      <c r="J30" s="156">
        <v>4</v>
      </c>
      <c r="K30" s="201" t="s">
        <v>139</v>
      </c>
      <c r="L30" s="284">
        <f>161424/175</f>
        <v>922.4228571428572</v>
      </c>
      <c r="M30" s="103"/>
      <c r="N30" s="156">
        <v>4</v>
      </c>
      <c r="O30" s="198" t="s">
        <v>138</v>
      </c>
      <c r="P30" s="185">
        <v>0.83350000000000002</v>
      </c>
      <c r="R30" s="174">
        <v>4</v>
      </c>
      <c r="S30" s="198" t="s">
        <v>154</v>
      </c>
      <c r="T30" s="192">
        <v>26021.4</v>
      </c>
      <c r="U30" s="192">
        <v>273.83</v>
      </c>
      <c r="V30" s="187">
        <v>26295.23</v>
      </c>
    </row>
    <row r="31" spans="1:23" ht="45" x14ac:dyDescent="0.2">
      <c r="A31" s="145">
        <v>4</v>
      </c>
      <c r="B31" s="253" t="s">
        <v>155</v>
      </c>
      <c r="C31" s="299">
        <v>175.5</v>
      </c>
      <c r="D31" s="204"/>
      <c r="E31" s="89"/>
      <c r="F31" s="145">
        <v>5</v>
      </c>
      <c r="G31" s="201" t="s">
        <v>155</v>
      </c>
      <c r="H31" s="284">
        <f>72014/175.5</f>
        <v>410.33618233618233</v>
      </c>
      <c r="J31" s="156">
        <v>5</v>
      </c>
      <c r="K31" s="198" t="s">
        <v>142</v>
      </c>
      <c r="L31" s="284">
        <f>162691/177</f>
        <v>919.15819209039546</v>
      </c>
      <c r="M31" s="103"/>
      <c r="N31" s="156">
        <v>5</v>
      </c>
      <c r="O31" s="198" t="s">
        <v>132</v>
      </c>
      <c r="P31" s="184">
        <v>0.83299999999999996</v>
      </c>
      <c r="R31" s="174">
        <v>5</v>
      </c>
      <c r="S31" s="198" t="s">
        <v>153</v>
      </c>
      <c r="T31" s="192">
        <v>25762.080000000002</v>
      </c>
      <c r="U31" s="192">
        <v>252.49</v>
      </c>
      <c r="V31" s="186">
        <v>26014.560000000001</v>
      </c>
    </row>
    <row r="32" spans="1:23" ht="30" x14ac:dyDescent="0.2">
      <c r="A32" s="145">
        <v>5</v>
      </c>
      <c r="B32" s="200" t="s">
        <v>159</v>
      </c>
      <c r="C32" s="299">
        <v>175</v>
      </c>
      <c r="D32" s="204"/>
      <c r="E32" s="89"/>
      <c r="F32" s="145">
        <v>6</v>
      </c>
      <c r="G32" s="198" t="s">
        <v>140</v>
      </c>
      <c r="H32" s="284">
        <f>70608/175</f>
        <v>403.47428571428571</v>
      </c>
      <c r="J32" s="156">
        <v>6</v>
      </c>
      <c r="K32" s="278" t="s">
        <v>181</v>
      </c>
      <c r="L32" s="285">
        <f>158494.22/178</f>
        <v>890.41696629213482</v>
      </c>
      <c r="M32" s="103"/>
      <c r="N32" s="156">
        <v>6</v>
      </c>
      <c r="O32" s="198" t="s">
        <v>154</v>
      </c>
      <c r="P32" s="184">
        <v>0.83299999999999996</v>
      </c>
      <c r="R32" s="174">
        <v>6</v>
      </c>
      <c r="S32" s="200" t="s">
        <v>155</v>
      </c>
      <c r="T32" s="192">
        <v>17376.189999999999</v>
      </c>
      <c r="U32" s="192">
        <v>36.35</v>
      </c>
      <c r="V32" s="186">
        <v>17412.54</v>
      </c>
    </row>
    <row r="33" spans="1:22" ht="45" x14ac:dyDescent="0.2">
      <c r="A33" s="145">
        <v>6</v>
      </c>
      <c r="B33" s="198" t="s">
        <v>140</v>
      </c>
      <c r="C33" s="299">
        <v>175</v>
      </c>
      <c r="D33" s="204"/>
      <c r="E33" s="89"/>
      <c r="F33" s="279">
        <v>7</v>
      </c>
      <c r="G33" s="198" t="s">
        <v>131</v>
      </c>
      <c r="H33" s="286">
        <f>70350/175</f>
        <v>402</v>
      </c>
      <c r="J33" s="156">
        <v>7</v>
      </c>
      <c r="K33" s="198" t="s">
        <v>151</v>
      </c>
      <c r="L33" s="284">
        <f>143927/164</f>
        <v>877.60365853658539</v>
      </c>
      <c r="M33" s="103"/>
      <c r="N33" s="156">
        <v>7</v>
      </c>
      <c r="O33" s="198" t="s">
        <v>141</v>
      </c>
      <c r="P33" s="184">
        <v>0.8</v>
      </c>
      <c r="R33" s="174">
        <v>7</v>
      </c>
      <c r="S33" s="198" t="s">
        <v>141</v>
      </c>
      <c r="T33" s="192">
        <v>14847.66</v>
      </c>
      <c r="U33" s="192">
        <v>869.34</v>
      </c>
      <c r="V33" s="186">
        <v>15717</v>
      </c>
    </row>
    <row r="34" spans="1:22" ht="30" x14ac:dyDescent="0.2">
      <c r="A34" s="145">
        <v>7</v>
      </c>
      <c r="B34" s="200" t="s">
        <v>136</v>
      </c>
      <c r="C34" s="299">
        <v>175</v>
      </c>
      <c r="D34" s="204"/>
      <c r="E34" s="89"/>
      <c r="F34" s="145">
        <v>8</v>
      </c>
      <c r="G34" s="207" t="s">
        <v>137</v>
      </c>
      <c r="H34" s="287">
        <f>71054/178</f>
        <v>399.17977528089887</v>
      </c>
      <c r="J34" s="156">
        <v>8</v>
      </c>
      <c r="K34" s="198" t="s">
        <v>155</v>
      </c>
      <c r="L34" s="294">
        <f>151165/175.5</f>
        <v>861.33903133903129</v>
      </c>
      <c r="M34" s="103"/>
      <c r="N34" s="156">
        <v>8</v>
      </c>
      <c r="O34" s="199" t="s">
        <v>139</v>
      </c>
      <c r="P34" s="185">
        <v>0.8</v>
      </c>
      <c r="R34" s="174">
        <v>8</v>
      </c>
      <c r="S34" s="201" t="s">
        <v>139</v>
      </c>
      <c r="T34" s="192">
        <v>10178.49</v>
      </c>
      <c r="U34" s="192">
        <v>573.5</v>
      </c>
      <c r="V34" s="186">
        <v>10751.99</v>
      </c>
    </row>
    <row r="35" spans="1:22" ht="30" x14ac:dyDescent="0.2">
      <c r="A35" s="145">
        <v>8</v>
      </c>
      <c r="B35" s="198" t="s">
        <v>131</v>
      </c>
      <c r="C35" s="299">
        <v>175</v>
      </c>
      <c r="D35" s="204"/>
      <c r="E35" s="89"/>
      <c r="F35" s="145">
        <v>9</v>
      </c>
      <c r="G35" s="198" t="s">
        <v>139</v>
      </c>
      <c r="H35" s="284">
        <f>69375/175</f>
        <v>396.42857142857144</v>
      </c>
      <c r="J35" s="296">
        <v>9</v>
      </c>
      <c r="K35" s="198" t="s">
        <v>140</v>
      </c>
      <c r="L35" s="284">
        <f>149154/175</f>
        <v>852.30857142857144</v>
      </c>
      <c r="M35" s="103"/>
      <c r="N35" s="156">
        <v>9</v>
      </c>
      <c r="O35" s="205" t="s">
        <v>155</v>
      </c>
      <c r="P35" s="184">
        <v>0.8</v>
      </c>
      <c r="R35" s="174">
        <v>9</v>
      </c>
      <c r="S35" s="201" t="s">
        <v>115</v>
      </c>
      <c r="T35" s="192">
        <v>10424.98</v>
      </c>
      <c r="U35" s="192">
        <v>154.44</v>
      </c>
      <c r="V35" s="186">
        <v>10579.42</v>
      </c>
    </row>
    <row r="36" spans="1:22" ht="42.75" x14ac:dyDescent="0.2">
      <c r="A36" s="145">
        <v>9</v>
      </c>
      <c r="B36" s="198" t="s">
        <v>139</v>
      </c>
      <c r="C36" s="299">
        <v>175</v>
      </c>
      <c r="D36" s="204"/>
      <c r="E36" s="89"/>
      <c r="F36" s="145">
        <v>10</v>
      </c>
      <c r="G36" s="198" t="s">
        <v>142</v>
      </c>
      <c r="H36" s="284">
        <f>69954/177</f>
        <v>395.22033898305085</v>
      </c>
      <c r="J36" s="156">
        <v>10</v>
      </c>
      <c r="K36" s="198" t="s">
        <v>135</v>
      </c>
      <c r="L36" s="284">
        <f>147647.82/175</f>
        <v>843.70182857142856</v>
      </c>
      <c r="M36" s="103"/>
      <c r="N36" s="156">
        <v>10</v>
      </c>
      <c r="O36" s="205" t="s">
        <v>136</v>
      </c>
      <c r="P36" s="184">
        <v>0.75</v>
      </c>
      <c r="R36" s="174">
        <v>10</v>
      </c>
      <c r="S36" s="201" t="s">
        <v>152</v>
      </c>
      <c r="T36" s="192">
        <v>8357.44</v>
      </c>
      <c r="U36" s="192">
        <v>636.46</v>
      </c>
      <c r="V36" s="186">
        <v>8993.9</v>
      </c>
    </row>
    <row r="37" spans="1:22" ht="45" x14ac:dyDescent="0.2">
      <c r="A37" s="145">
        <v>10</v>
      </c>
      <c r="B37" s="198" t="s">
        <v>134</v>
      </c>
      <c r="C37" s="299">
        <v>175</v>
      </c>
      <c r="D37" s="204"/>
      <c r="E37" s="89"/>
      <c r="F37" s="145">
        <v>11</v>
      </c>
      <c r="G37" s="201" t="s">
        <v>132</v>
      </c>
      <c r="H37" s="284">
        <f>68383/175</f>
        <v>390.76</v>
      </c>
      <c r="J37" s="156">
        <v>11</v>
      </c>
      <c r="K37" s="207" t="s">
        <v>137</v>
      </c>
      <c r="L37" s="287">
        <f>149765/178</f>
        <v>841.37640449438197</v>
      </c>
      <c r="M37" s="103"/>
      <c r="N37" s="156">
        <v>11</v>
      </c>
      <c r="O37" s="198" t="s">
        <v>135</v>
      </c>
      <c r="P37" s="184">
        <v>0.75</v>
      </c>
      <c r="R37" s="174">
        <v>10</v>
      </c>
      <c r="S37" s="198" t="s">
        <v>132</v>
      </c>
      <c r="T37" s="192">
        <v>7167.33</v>
      </c>
      <c r="U37" s="192">
        <v>409.02</v>
      </c>
      <c r="V37" s="186">
        <v>7576.35</v>
      </c>
    </row>
    <row r="38" spans="1:22" ht="45" x14ac:dyDescent="0.2">
      <c r="A38" s="145">
        <v>11</v>
      </c>
      <c r="B38" s="198" t="s">
        <v>135</v>
      </c>
      <c r="C38" s="299">
        <v>175</v>
      </c>
      <c r="D38" s="204"/>
      <c r="E38" s="89"/>
      <c r="F38" s="145">
        <v>12</v>
      </c>
      <c r="G38" s="198" t="s">
        <v>154</v>
      </c>
      <c r="H38" s="284">
        <f>68136/175</f>
        <v>389.3485714285714</v>
      </c>
      <c r="J38" s="156">
        <v>12</v>
      </c>
      <c r="K38" s="201" t="s">
        <v>132</v>
      </c>
      <c r="L38" s="284">
        <f>145819/175</f>
        <v>833.25142857142862</v>
      </c>
      <c r="M38" s="103"/>
      <c r="N38" s="156">
        <v>12</v>
      </c>
      <c r="O38" s="227" t="s">
        <v>137</v>
      </c>
      <c r="P38" s="232">
        <v>0.75</v>
      </c>
      <c r="R38" s="174">
        <v>11</v>
      </c>
      <c r="S38" s="201" t="s">
        <v>140</v>
      </c>
      <c r="T38" s="256">
        <v>7405.66</v>
      </c>
      <c r="U38" s="256">
        <v>64.97</v>
      </c>
      <c r="V38" s="186">
        <v>7470.63</v>
      </c>
    </row>
    <row r="39" spans="1:22" ht="30" x14ac:dyDescent="0.2">
      <c r="A39" s="145">
        <v>12</v>
      </c>
      <c r="B39" s="201" t="s">
        <v>154</v>
      </c>
      <c r="C39" s="299">
        <v>175</v>
      </c>
      <c r="D39" s="204"/>
      <c r="E39" s="89"/>
      <c r="F39" s="145">
        <v>13</v>
      </c>
      <c r="G39" s="201" t="s">
        <v>135</v>
      </c>
      <c r="H39" s="284">
        <f>67466.2/175</f>
        <v>385.52114285714282</v>
      </c>
      <c r="J39" s="156">
        <v>13</v>
      </c>
      <c r="K39" s="201" t="s">
        <v>131</v>
      </c>
      <c r="L39" s="295">
        <f>145298/175</f>
        <v>830.27428571428572</v>
      </c>
      <c r="M39" s="103"/>
      <c r="N39" s="156">
        <v>13</v>
      </c>
      <c r="O39" s="254" t="s">
        <v>131</v>
      </c>
      <c r="P39" s="184">
        <v>0.75</v>
      </c>
      <c r="R39" s="174">
        <v>12</v>
      </c>
      <c r="S39" s="198" t="s">
        <v>131</v>
      </c>
      <c r="T39" s="250">
        <v>5687.17</v>
      </c>
      <c r="U39" s="250">
        <v>688.4</v>
      </c>
      <c r="V39" s="251">
        <v>6375.57</v>
      </c>
    </row>
    <row r="40" spans="1:22" ht="45" x14ac:dyDescent="0.2">
      <c r="A40" s="145">
        <v>13</v>
      </c>
      <c r="B40" s="201" t="s">
        <v>152</v>
      </c>
      <c r="C40" s="299">
        <v>175</v>
      </c>
      <c r="D40" s="204"/>
      <c r="E40" s="89"/>
      <c r="F40" s="145">
        <v>14</v>
      </c>
      <c r="G40" s="200" t="s">
        <v>136</v>
      </c>
      <c r="H40" s="284">
        <f>66875/175</f>
        <v>382.14285714285717</v>
      </c>
      <c r="J40" s="174">
        <v>14</v>
      </c>
      <c r="K40" s="198" t="s">
        <v>141</v>
      </c>
      <c r="L40" s="284">
        <f>145028/175</f>
        <v>828.73142857142852</v>
      </c>
      <c r="M40" s="103"/>
      <c r="N40" s="156">
        <v>14</v>
      </c>
      <c r="O40" s="211" t="s">
        <v>153</v>
      </c>
      <c r="P40" s="184">
        <v>0.75</v>
      </c>
      <c r="R40" s="174">
        <v>13</v>
      </c>
      <c r="S40" s="199" t="s">
        <v>138</v>
      </c>
      <c r="T40" s="192">
        <v>5494.12</v>
      </c>
      <c r="U40" s="192">
        <v>212.86</v>
      </c>
      <c r="V40" s="186">
        <v>5706.98</v>
      </c>
    </row>
    <row r="41" spans="1:22" ht="30" x14ac:dyDescent="0.2">
      <c r="A41" s="145">
        <v>14</v>
      </c>
      <c r="B41" s="201" t="s">
        <v>153</v>
      </c>
      <c r="C41" s="299">
        <v>175</v>
      </c>
      <c r="D41" s="204"/>
      <c r="E41" s="89"/>
      <c r="F41" s="145">
        <v>15</v>
      </c>
      <c r="G41" s="201" t="s">
        <v>152</v>
      </c>
      <c r="H41" s="284">
        <f>66760/175</f>
        <v>381.48571428571427</v>
      </c>
      <c r="J41" s="156">
        <v>15</v>
      </c>
      <c r="K41" s="199" t="s">
        <v>153</v>
      </c>
      <c r="L41" s="288">
        <f>138585.8/175</f>
        <v>791.91885714285706</v>
      </c>
      <c r="M41" s="103"/>
      <c r="N41" s="156">
        <v>15</v>
      </c>
      <c r="O41" s="255" t="s">
        <v>151</v>
      </c>
      <c r="P41" s="184">
        <v>0.75</v>
      </c>
      <c r="R41" s="174">
        <v>14</v>
      </c>
      <c r="S41" s="201" t="s">
        <v>135</v>
      </c>
      <c r="T41" s="192">
        <v>4505.45</v>
      </c>
      <c r="U41" s="192">
        <v>645.80999999999995</v>
      </c>
      <c r="V41" s="186">
        <v>5151.26</v>
      </c>
    </row>
    <row r="42" spans="1:22" ht="45" x14ac:dyDescent="0.2">
      <c r="A42" s="145">
        <v>15</v>
      </c>
      <c r="B42" s="198" t="s">
        <v>132</v>
      </c>
      <c r="C42" s="299">
        <v>175</v>
      </c>
      <c r="D42" s="204"/>
      <c r="E42" s="89"/>
      <c r="F42" s="252">
        <v>16</v>
      </c>
      <c r="G42" s="198" t="s">
        <v>138</v>
      </c>
      <c r="H42" s="284">
        <f>63492/175.5</f>
        <v>361.77777777777777</v>
      </c>
      <c r="J42" s="156">
        <v>16</v>
      </c>
      <c r="K42" s="198" t="s">
        <v>138</v>
      </c>
      <c r="L42" s="284">
        <f>138512/175.5</f>
        <v>789.24216524216524</v>
      </c>
      <c r="M42" s="103"/>
      <c r="N42" s="156">
        <v>16</v>
      </c>
      <c r="O42" s="201" t="s">
        <v>142</v>
      </c>
      <c r="P42" s="185">
        <v>0.75</v>
      </c>
      <c r="R42" s="174">
        <v>15</v>
      </c>
      <c r="S42" s="201" t="s">
        <v>142</v>
      </c>
      <c r="T42" s="214">
        <v>4935.83</v>
      </c>
      <c r="U42" s="214">
        <v>54.78</v>
      </c>
      <c r="V42" s="186">
        <v>4990.62</v>
      </c>
    </row>
    <row r="43" spans="1:22" ht="43.5" thickBot="1" x14ac:dyDescent="0.25">
      <c r="A43" s="252">
        <v>16</v>
      </c>
      <c r="B43" s="199" t="s">
        <v>141</v>
      </c>
      <c r="C43" s="300">
        <v>175</v>
      </c>
      <c r="D43" s="204"/>
      <c r="E43" s="89"/>
      <c r="F43" s="145">
        <v>17</v>
      </c>
      <c r="G43" s="199" t="s">
        <v>153</v>
      </c>
      <c r="H43" s="288">
        <f>61599/175</f>
        <v>351.9942857142857</v>
      </c>
      <c r="J43" s="156">
        <v>17</v>
      </c>
      <c r="K43" s="201" t="s">
        <v>154</v>
      </c>
      <c r="L43" s="284">
        <f>132264/175</f>
        <v>755.79428571428571</v>
      </c>
      <c r="M43" s="103"/>
      <c r="N43" s="157">
        <v>17</v>
      </c>
      <c r="O43" s="202" t="s">
        <v>140</v>
      </c>
      <c r="P43" s="213">
        <v>0.66600000000000004</v>
      </c>
      <c r="R43" s="157">
        <v>17</v>
      </c>
      <c r="S43" s="215" t="s">
        <v>136</v>
      </c>
      <c r="T43" s="193">
        <v>2065.7600000000002</v>
      </c>
      <c r="U43" s="193">
        <v>0.18</v>
      </c>
      <c r="V43" s="188">
        <v>2065.94</v>
      </c>
    </row>
    <row r="44" spans="1:22" ht="30.75" thickBot="1" x14ac:dyDescent="0.25">
      <c r="A44" s="196">
        <v>17</v>
      </c>
      <c r="B44" s="201" t="s">
        <v>151</v>
      </c>
      <c r="C44" s="301">
        <v>164</v>
      </c>
      <c r="D44" s="204"/>
      <c r="E44" s="89"/>
      <c r="F44" s="252">
        <v>18</v>
      </c>
      <c r="G44" s="201" t="s">
        <v>151</v>
      </c>
      <c r="H44" s="289">
        <f>55958/164</f>
        <v>341.20731707317071</v>
      </c>
      <c r="J44" s="156">
        <v>18</v>
      </c>
      <c r="K44" s="201" t="s">
        <v>152</v>
      </c>
      <c r="L44" s="289">
        <f>129985/175</f>
        <v>742.7714285714286</v>
      </c>
      <c r="M44" s="103"/>
      <c r="N44" s="526" t="s">
        <v>21</v>
      </c>
      <c r="O44" s="527"/>
      <c r="P44" s="136"/>
      <c r="R44" s="237"/>
      <c r="S44" s="158" t="s">
        <v>105</v>
      </c>
      <c r="T44" s="194">
        <f>AVERAGE(T27:T43)</f>
        <v>15288.124705882352</v>
      </c>
      <c r="U44" s="194">
        <f>AVERAGE(U27:U43)</f>
        <v>343.0570588235293</v>
      </c>
      <c r="V44" s="194">
        <f>AVERAGE(V27:V43)</f>
        <v>15631.181764705883</v>
      </c>
    </row>
    <row r="45" spans="1:22" ht="16.5" thickBot="1" x14ac:dyDescent="0.25">
      <c r="A45" s="78"/>
      <c r="B45" s="240" t="s">
        <v>99</v>
      </c>
      <c r="C45" s="239">
        <f>MEDIAN(C27:C44)</f>
        <v>175</v>
      </c>
      <c r="D45" s="204"/>
      <c r="E45" s="89"/>
      <c r="F45" s="510"/>
      <c r="G45" s="510"/>
      <c r="H45" s="510"/>
      <c r="J45" s="511"/>
      <c r="K45" s="511"/>
      <c r="L45" s="78"/>
      <c r="M45" s="103"/>
      <c r="N45" s="508" t="s">
        <v>54</v>
      </c>
      <c r="O45" s="509"/>
      <c r="P45" s="242"/>
      <c r="R45" s="237"/>
      <c r="S45" s="158" t="s">
        <v>99</v>
      </c>
      <c r="T45" s="243">
        <f>MEDIAN(T27:T43)</f>
        <v>10178.49</v>
      </c>
      <c r="U45" s="243">
        <f>MEDIAN(U27:U43)</f>
        <v>273.83</v>
      </c>
      <c r="V45" s="243">
        <f>MEDIAN(V27:V43)</f>
        <v>10579.42</v>
      </c>
    </row>
    <row r="46" spans="1:22" ht="26.25" customHeight="1" thickBot="1" x14ac:dyDescent="0.3">
      <c r="A46" s="78"/>
      <c r="B46" s="78"/>
      <c r="C46" s="78"/>
      <c r="D46" s="183"/>
      <c r="E46" s="89"/>
      <c r="F46" s="237"/>
      <c r="G46" s="158" t="s">
        <v>76</v>
      </c>
      <c r="H46" s="160">
        <f>AVERAGE(H27:H44)</f>
        <v>399.49028108382589</v>
      </c>
      <c r="J46" s="237"/>
      <c r="K46" s="158" t="s">
        <v>76</v>
      </c>
      <c r="L46" s="160">
        <f>AVERAGE(L27:L44)</f>
        <v>862.62675972986403</v>
      </c>
      <c r="M46" s="103"/>
      <c r="N46" s="237"/>
      <c r="O46" s="209"/>
      <c r="P46" s="242"/>
      <c r="R46" s="237"/>
      <c r="S46" s="100"/>
      <c r="T46" s="100"/>
      <c r="U46" s="105"/>
    </row>
    <row r="47" spans="1:22" ht="16.5" thickBot="1" x14ac:dyDescent="0.25">
      <c r="A47" s="237"/>
      <c r="B47" s="209"/>
      <c r="C47" s="238"/>
      <c r="D47" s="183"/>
      <c r="E47" s="89"/>
      <c r="F47" s="237"/>
      <c r="G47" s="158" t="s">
        <v>77</v>
      </c>
      <c r="H47" s="160">
        <f>MEDIAN(H27:H44)</f>
        <v>395.82445520581115</v>
      </c>
      <c r="J47" s="237"/>
      <c r="K47" s="158" t="s">
        <v>77</v>
      </c>
      <c r="L47" s="159">
        <f>MEDIAN(L27:L44)</f>
        <v>848.00520000000006</v>
      </c>
      <c r="M47" s="103"/>
      <c r="N47" s="237"/>
      <c r="O47" s="78"/>
      <c r="P47" s="78"/>
      <c r="R47" s="237"/>
      <c r="S47" s="216" t="s">
        <v>147</v>
      </c>
      <c r="T47" s="219">
        <f>T28-T44</f>
        <v>17863.825294117647</v>
      </c>
      <c r="U47" s="219">
        <f>U28-U43</f>
        <v>498.39</v>
      </c>
      <c r="V47" s="220">
        <f>V28-V44</f>
        <v>18019.338235294112</v>
      </c>
    </row>
    <row r="48" spans="1:22" ht="16.5" thickBot="1" x14ac:dyDescent="0.25">
      <c r="A48" s="237"/>
      <c r="B48" s="209"/>
      <c r="C48" s="238"/>
      <c r="D48" s="183"/>
      <c r="E48" s="89"/>
      <c r="F48" s="237"/>
      <c r="G48" s="106"/>
      <c r="J48" s="237"/>
      <c r="K48" s="106"/>
      <c r="M48" s="103"/>
      <c r="N48" s="237"/>
      <c r="O48" s="78"/>
      <c r="P48" s="78"/>
      <c r="R48" s="237"/>
      <c r="S48" s="217" t="s">
        <v>148</v>
      </c>
      <c r="T48" s="219">
        <f>T28-T45</f>
        <v>22973.46</v>
      </c>
      <c r="U48" s="221">
        <f>U28-U45</f>
        <v>224.74</v>
      </c>
      <c r="V48" s="220">
        <f>V28-V45</f>
        <v>23071.1</v>
      </c>
    </row>
    <row r="49" spans="1:25" ht="16.5" thickBot="1" x14ac:dyDescent="0.25">
      <c r="A49" s="237"/>
      <c r="B49" s="209"/>
      <c r="C49" s="238"/>
      <c r="D49" s="183"/>
      <c r="E49" s="89"/>
      <c r="F49" s="237"/>
      <c r="G49" s="442" t="s">
        <v>146</v>
      </c>
      <c r="H49" s="443">
        <f>H46-H34</f>
        <v>0.31050580292702534</v>
      </c>
      <c r="J49" s="237"/>
      <c r="K49" s="442" t="s">
        <v>146</v>
      </c>
      <c r="L49" s="443">
        <f>L46-L37</f>
        <v>21.250355235482061</v>
      </c>
      <c r="M49" s="103"/>
      <c r="N49" s="78"/>
      <c r="O49" s="78"/>
      <c r="P49" s="152"/>
      <c r="R49" s="99"/>
      <c r="S49" s="78"/>
      <c r="T49" s="78"/>
      <c r="U49" s="78"/>
    </row>
    <row r="50" spans="1:25" ht="16.5" thickBot="1" x14ac:dyDescent="0.3">
      <c r="F50" s="78"/>
      <c r="G50" s="444" t="s">
        <v>88</v>
      </c>
      <c r="H50" s="445">
        <f>-(H49/H34)</f>
        <v>-7.7785955640795042E-4</v>
      </c>
      <c r="J50" s="241"/>
      <c r="K50" s="444" t="s">
        <v>88</v>
      </c>
      <c r="L50" s="445">
        <f>(L49/L37)</f>
        <v>2.525665697536679E-2</v>
      </c>
      <c r="N50" s="78"/>
      <c r="O50" s="78"/>
      <c r="P50" s="100"/>
      <c r="Q50" s="99"/>
      <c r="R50" s="100"/>
      <c r="S50" s="78"/>
      <c r="T50" s="78"/>
      <c r="U50" s="78"/>
      <c r="W50" s="90"/>
      <c r="X50" s="81"/>
      <c r="Y50" s="91"/>
    </row>
    <row r="51" spans="1:25" ht="16.5" thickBot="1" x14ac:dyDescent="0.3">
      <c r="B51" s="78"/>
      <c r="C51" s="78"/>
      <c r="G51" s="442" t="s">
        <v>145</v>
      </c>
      <c r="H51" s="443">
        <f>H34-H47</f>
        <v>3.3553200750877181</v>
      </c>
      <c r="J51" s="82"/>
      <c r="K51" s="442" t="s">
        <v>195</v>
      </c>
      <c r="L51" s="443">
        <f>L47-L37</f>
        <v>6.6287955056180863</v>
      </c>
      <c r="M51" s="105"/>
      <c r="P51" s="100"/>
      <c r="Q51" s="100"/>
      <c r="R51" s="100"/>
      <c r="S51" s="78"/>
      <c r="T51" s="78"/>
      <c r="U51" s="78"/>
      <c r="X51" s="84"/>
      <c r="Y51" s="92"/>
    </row>
    <row r="52" spans="1:25" ht="16.5" thickBot="1" x14ac:dyDescent="0.3">
      <c r="G52" s="444" t="s">
        <v>89</v>
      </c>
      <c r="H52" s="446">
        <f>-(H51/H34)</f>
        <v>-8.4055362592621637E-3</v>
      </c>
      <c r="J52" s="82"/>
      <c r="K52" s="444" t="s">
        <v>89</v>
      </c>
      <c r="L52" s="445">
        <f>(L51/L37)</f>
        <v>7.8785136714186847E-3</v>
      </c>
      <c r="M52" s="105"/>
      <c r="Q52" s="100"/>
      <c r="R52" s="218"/>
      <c r="S52" s="78"/>
      <c r="T52" s="78"/>
      <c r="U52" s="78"/>
      <c r="X52" s="84"/>
      <c r="Y52" s="92"/>
    </row>
    <row r="53" spans="1:25" ht="19.5" customHeight="1" thickBot="1" x14ac:dyDescent="0.25">
      <c r="A53" s="93"/>
      <c r="B53" s="94"/>
      <c r="C53" s="94"/>
      <c r="D53" s="94"/>
      <c r="E53" s="94"/>
      <c r="F53" s="94"/>
      <c r="G53" s="78"/>
      <c r="H53" s="78"/>
      <c r="J53" s="94"/>
      <c r="K53" s="78"/>
      <c r="L53" s="78"/>
      <c r="R53" s="78"/>
      <c r="S53" s="78"/>
      <c r="T53" s="78"/>
      <c r="U53" s="78"/>
      <c r="Y53" s="92"/>
    </row>
    <row r="54" spans="1:25" ht="18.75" thickBot="1" x14ac:dyDescent="0.3">
      <c r="A54" s="523" t="s">
        <v>121</v>
      </c>
      <c r="B54" s="524"/>
      <c r="C54" s="525"/>
      <c r="D54" s="95"/>
      <c r="E54" s="95"/>
      <c r="F54" s="95"/>
      <c r="G54" s="437" t="s">
        <v>189</v>
      </c>
      <c r="H54" s="438">
        <f>H30-H46</f>
        <v>12.862415545387591</v>
      </c>
      <c r="J54" s="95"/>
      <c r="K54" s="437" t="s">
        <v>189</v>
      </c>
      <c r="L54" s="438">
        <f>L32-L46</f>
        <v>27.790206562270782</v>
      </c>
      <c r="M54" s="105"/>
      <c r="U54" s="105"/>
      <c r="Y54" s="92"/>
    </row>
    <row r="55" spans="1:25" ht="54" customHeight="1" thickBot="1" x14ac:dyDescent="0.25">
      <c r="A55" s="127" t="s">
        <v>106</v>
      </c>
      <c r="B55" s="142" t="s">
        <v>29</v>
      </c>
      <c r="C55" s="131" t="s">
        <v>53</v>
      </c>
      <c r="D55" s="80"/>
      <c r="E55" s="209"/>
      <c r="F55" s="80"/>
      <c r="G55" s="439" t="s">
        <v>88</v>
      </c>
      <c r="H55" s="440">
        <f>-(H54/H30)</f>
        <v>-3.1192752346551146E-2</v>
      </c>
      <c r="J55" s="80"/>
      <c r="K55" s="439" t="s">
        <v>88</v>
      </c>
      <c r="L55" s="440">
        <f>-(L54/L32)</f>
        <v>-3.1210329109062775E-2</v>
      </c>
      <c r="M55" s="105"/>
      <c r="U55" s="105"/>
      <c r="Y55" s="92"/>
    </row>
    <row r="56" spans="1:25" ht="30.75" thickBot="1" x14ac:dyDescent="0.25">
      <c r="A56" s="146">
        <v>1</v>
      </c>
      <c r="B56" s="198" t="s">
        <v>136</v>
      </c>
      <c r="C56" s="154" t="s">
        <v>123</v>
      </c>
      <c r="D56" s="80"/>
      <c r="E56" s="209"/>
      <c r="F56" s="80"/>
      <c r="G56" s="437" t="s">
        <v>190</v>
      </c>
      <c r="H56" s="438">
        <f>H30-H47</f>
        <v>16.528241423402335</v>
      </c>
      <c r="J56" s="80"/>
      <c r="K56" s="437" t="s">
        <v>190</v>
      </c>
      <c r="L56" s="438">
        <f>L32-L47</f>
        <v>42.411766292134757</v>
      </c>
      <c r="M56" s="105"/>
    </row>
    <row r="57" spans="1:25" ht="45.75" thickBot="1" x14ac:dyDescent="0.25">
      <c r="A57" s="147">
        <v>2</v>
      </c>
      <c r="B57" s="199" t="s">
        <v>140</v>
      </c>
      <c r="C57" s="149" t="s">
        <v>120</v>
      </c>
      <c r="D57" s="80"/>
      <c r="E57" s="209"/>
      <c r="F57" s="80"/>
      <c r="G57" s="439" t="s">
        <v>89</v>
      </c>
      <c r="H57" s="441">
        <f>-(H56/H30)</f>
        <v>-4.0082777579758352E-2</v>
      </c>
      <c r="J57" s="80"/>
      <c r="K57" s="439" t="s">
        <v>89</v>
      </c>
      <c r="L57" s="441">
        <f>-(L56/L32)</f>
        <v>-4.7631354632364432E-2</v>
      </c>
      <c r="U57" s="108"/>
    </row>
    <row r="58" spans="1:25" ht="37.5" customHeight="1" x14ac:dyDescent="0.2">
      <c r="A58" s="147">
        <v>3</v>
      </c>
      <c r="B58" s="201" t="s">
        <v>141</v>
      </c>
      <c r="C58" s="149" t="s">
        <v>122</v>
      </c>
      <c r="D58" s="80"/>
      <c r="E58" s="209"/>
      <c r="F58" s="80"/>
      <c r="G58" s="107"/>
      <c r="M58" s="108"/>
      <c r="U58" s="108"/>
    </row>
    <row r="59" spans="1:25" ht="30" x14ac:dyDescent="0.2">
      <c r="A59" s="147">
        <v>4</v>
      </c>
      <c r="B59" s="201" t="s">
        <v>138</v>
      </c>
      <c r="C59" s="149" t="s">
        <v>122</v>
      </c>
      <c r="D59" s="80"/>
      <c r="E59" s="209"/>
      <c r="F59" s="80"/>
      <c r="G59" s="109"/>
      <c r="M59" s="108"/>
    </row>
    <row r="60" spans="1:25" ht="45.75" customHeight="1" x14ac:dyDescent="0.2">
      <c r="A60" s="147">
        <v>5</v>
      </c>
      <c r="B60" s="201" t="s">
        <v>152</v>
      </c>
      <c r="C60" s="149" t="s">
        <v>158</v>
      </c>
      <c r="D60" s="183"/>
      <c r="E60" s="209"/>
      <c r="F60" s="80"/>
      <c r="G60" s="107"/>
      <c r="M60" s="105"/>
    </row>
    <row r="61" spans="1:25" ht="39.75" customHeight="1" x14ac:dyDescent="0.2">
      <c r="A61" s="147">
        <v>6</v>
      </c>
      <c r="B61" s="260" t="s">
        <v>155</v>
      </c>
      <c r="C61" s="149" t="s">
        <v>156</v>
      </c>
      <c r="D61" s="80"/>
      <c r="E61" s="209"/>
      <c r="F61" s="80"/>
      <c r="G61" s="107"/>
    </row>
    <row r="62" spans="1:25" ht="39.75" customHeight="1" x14ac:dyDescent="0.2">
      <c r="A62" s="147">
        <v>7</v>
      </c>
      <c r="B62" s="201" t="s">
        <v>135</v>
      </c>
      <c r="C62" s="149" t="s">
        <v>119</v>
      </c>
      <c r="D62" s="80"/>
      <c r="E62" s="209"/>
      <c r="F62" s="80"/>
      <c r="G62" s="107"/>
    </row>
    <row r="63" spans="1:25" ht="108.75" customHeight="1" x14ac:dyDescent="0.2">
      <c r="A63" s="147">
        <v>8</v>
      </c>
      <c r="B63" s="233" t="s">
        <v>137</v>
      </c>
      <c r="C63" s="271" t="s">
        <v>168</v>
      </c>
      <c r="D63" s="80"/>
      <c r="E63" s="209"/>
      <c r="F63" s="80"/>
      <c r="G63" s="107"/>
    </row>
    <row r="64" spans="1:25" ht="39.75" customHeight="1" x14ac:dyDescent="0.2">
      <c r="A64" s="147">
        <v>9</v>
      </c>
      <c r="B64" s="201" t="s">
        <v>151</v>
      </c>
      <c r="C64" s="150">
        <v>4.5</v>
      </c>
      <c r="D64" s="80"/>
      <c r="E64" s="209"/>
      <c r="F64" s="80"/>
      <c r="G64" s="107"/>
    </row>
    <row r="65" spans="1:7" ht="39.75" customHeight="1" x14ac:dyDescent="0.2">
      <c r="A65" s="147">
        <v>10</v>
      </c>
      <c r="B65" s="201" t="s">
        <v>153</v>
      </c>
      <c r="C65" s="150">
        <v>3</v>
      </c>
      <c r="D65" s="80"/>
      <c r="E65" s="209"/>
      <c r="F65" s="80"/>
      <c r="G65" s="107"/>
    </row>
    <row r="66" spans="1:7" ht="15" x14ac:dyDescent="0.2">
      <c r="A66" s="147">
        <v>11</v>
      </c>
      <c r="B66" s="259" t="s">
        <v>134</v>
      </c>
      <c r="C66" s="150">
        <v>2.5</v>
      </c>
      <c r="D66" s="208"/>
      <c r="E66" s="209"/>
      <c r="F66" s="80"/>
      <c r="G66" s="107"/>
    </row>
    <row r="67" spans="1:7" ht="30" x14ac:dyDescent="0.2">
      <c r="A67" s="147">
        <v>12</v>
      </c>
      <c r="B67" s="199" t="s">
        <v>132</v>
      </c>
      <c r="C67" s="150">
        <v>1.8</v>
      </c>
      <c r="D67" s="208"/>
      <c r="E67" s="209"/>
      <c r="F67" s="80"/>
      <c r="G67" s="110"/>
    </row>
    <row r="68" spans="1:7" ht="30.75" customHeight="1" x14ac:dyDescent="0.2">
      <c r="A68" s="147">
        <v>13</v>
      </c>
      <c r="B68" s="198" t="s">
        <v>159</v>
      </c>
      <c r="C68" s="151">
        <v>1.7</v>
      </c>
      <c r="D68" s="208"/>
      <c r="E68" s="210"/>
      <c r="F68" s="80"/>
      <c r="G68" s="107"/>
    </row>
    <row r="69" spans="1:7" ht="21" customHeight="1" x14ac:dyDescent="0.2">
      <c r="A69" s="147">
        <v>14</v>
      </c>
      <c r="B69" s="201" t="s">
        <v>131</v>
      </c>
      <c r="C69" s="150">
        <v>1</v>
      </c>
      <c r="D69" s="208"/>
      <c r="E69" s="209"/>
      <c r="F69" s="80"/>
      <c r="G69" s="107"/>
    </row>
    <row r="70" spans="1:7" ht="21" customHeight="1" x14ac:dyDescent="0.2">
      <c r="A70" s="147">
        <v>15</v>
      </c>
      <c r="B70" s="198" t="s">
        <v>142</v>
      </c>
      <c r="C70" s="150">
        <v>0.5</v>
      </c>
      <c r="D70" s="208"/>
      <c r="E70" s="209"/>
      <c r="F70" s="80"/>
      <c r="G70" s="107"/>
    </row>
    <row r="71" spans="1:7" ht="21" customHeight="1" thickBot="1" x14ac:dyDescent="0.25">
      <c r="A71" s="244">
        <v>16</v>
      </c>
      <c r="B71" s="226" t="s">
        <v>139</v>
      </c>
      <c r="C71" s="245">
        <v>5.7000000000000002E-2</v>
      </c>
      <c r="D71" s="208"/>
      <c r="E71" s="209"/>
      <c r="F71" s="80"/>
      <c r="G71" s="107"/>
    </row>
    <row r="72" spans="1:7" x14ac:dyDescent="0.25">
      <c r="A72" s="522" t="s">
        <v>54</v>
      </c>
      <c r="B72" s="522"/>
      <c r="C72" s="152"/>
    </row>
  </sheetData>
  <sortState xmlns:xlrd2="http://schemas.microsoft.com/office/spreadsheetml/2017/richdata2" ref="K27:L44">
    <sortCondition descending="1" ref="L26:L44"/>
  </sortState>
  <customSheetViews>
    <customSheetView guid="{2553490D-CEB8-4CB7-8490-7C9CCD5DDA4B}" fitToPage="1">
      <selection activeCell="B2" sqref="B2"/>
      <pageMargins left="0.7" right="0.7" top="0.75" bottom="0.75" header="0.3" footer="0.3"/>
      <pageSetup fitToHeight="0" orientation="landscape" r:id="rId1"/>
    </customSheetView>
  </customSheetViews>
  <mergeCells count="17">
    <mergeCell ref="A72:B72"/>
    <mergeCell ref="F25:H25"/>
    <mergeCell ref="J25:L25"/>
    <mergeCell ref="N25:P25"/>
    <mergeCell ref="N44:O44"/>
    <mergeCell ref="A25:C25"/>
    <mergeCell ref="A54:C54"/>
    <mergeCell ref="R25:V25"/>
    <mergeCell ref="N45:O45"/>
    <mergeCell ref="F45:H45"/>
    <mergeCell ref="J45:K45"/>
    <mergeCell ref="A1:Q1"/>
    <mergeCell ref="N24:P24"/>
    <mergeCell ref="N23:P23"/>
    <mergeCell ref="Q24:T24"/>
    <mergeCell ref="Q23:T23"/>
    <mergeCell ref="L23:M23"/>
  </mergeCells>
  <phoneticPr fontId="33" type="noConversion"/>
  <hyperlinks>
    <hyperlink ref="B14" r:id="rId2" display="Cabrillo Community College District (2019-2022)" xr:uid="{6FAD86C4-93D3-498E-90A8-61AD710D1021}"/>
    <hyperlink ref="C14" r:id="rId3" display="2023-2024" xr:uid="{8E0D4138-9385-48CD-9566-723BBE3FAB84}"/>
    <hyperlink ref="F14" r:id="rId4" display="https://www.bestplaces.net/cost_of_living/city/california/aptos" xr:uid="{B313EDAC-C92E-41DF-AA97-A53055C8B9A3}"/>
    <hyperlink ref="B3" r:id="rId5" display="College of the Sequoias (2021-2024)" xr:uid="{6494E093-15B1-4F4E-BEDA-057B405092A1}"/>
    <hyperlink ref="C3" r:id="rId6" xr:uid="{548392AD-D9E9-42D3-851D-9642A8501E43}"/>
    <hyperlink ref="F3" r:id="rId7" display="https://www.bestplaces.net/cost_of_living/city/california/visalia" xr:uid="{9696E19B-B9AB-4057-9527-AF0E6C8FD640}"/>
    <hyperlink ref="B12" r:id="rId8" display="Gavilan Community College District (2018-2021)" xr:uid="{C8887347-27F5-494B-AE1A-1C8879601055}"/>
    <hyperlink ref="C12" r:id="rId9" display="2019-2020" xr:uid="{CC535227-876B-4E45-9AA6-AD553D05685F}"/>
    <hyperlink ref="F12" r:id="rId10" display="https://www.bestplaces.net/cost_of_living/city/california/gilroy" xr:uid="{095EF5EA-85A0-42CA-8946-AE997E74172A}"/>
    <hyperlink ref="B11" r:id="rId11" display="Hartnell Community College District (2019-2022)" xr:uid="{2544C387-9D75-4FDF-9DBD-35B6B7F02BFF}"/>
    <hyperlink ref="F11" r:id="rId12" display="https://www.bestplaces.net/cost_of_living/city/california/salinas" xr:uid="{3A347FC1-E098-4CB4-BD1D-D8C7D70921E2}"/>
    <hyperlink ref="B4" r:id="rId13" display="Kern Community College District (2020-2023)" xr:uid="{2FA7FD0D-6BD2-40C0-B22F-9FFE847EB681}"/>
    <hyperlink ref="C4" r:id="rId14" display="2024-2025" xr:uid="{6B4852CE-F728-42CC-904D-F3D27938536B}"/>
    <hyperlink ref="F4" r:id="rId15" display="https://www.bestplaces.net/cost_of_living/city/california/bakersfield" xr:uid="{746B1FE9-8D84-4549-8DC8-89045E2D8D79}"/>
    <hyperlink ref="B7" r:id="rId16" display="Merced Community College District (2018-2021)" xr:uid="{F91CEE70-15D3-44EC-BD7A-720E85AF41FC}"/>
    <hyperlink ref="C7" r:id="rId17" display="2024-2025" xr:uid="{BEE02A88-724C-4F67-9DEE-BD5E0C4C9C79}"/>
    <hyperlink ref="F7" r:id="rId18" display="https://www.bestplaces.net/cost_of_living/city/california/merced" xr:uid="{D00B59E3-A34E-4387-9BC9-C99DA950C2B4}"/>
    <hyperlink ref="C18" r:id="rId19" display="2024-2025" xr:uid="{C49FAC14-2FE7-40E5-BB12-CB34055BD305}"/>
    <hyperlink ref="B18" r:id="rId20" display="Monterey - Peninsula Community College District (2019-2022)" xr:uid="{81FBA808-5529-4211-A75C-9B23C350C7A7}"/>
    <hyperlink ref="F18" r:id="rId21" display="https://www.bestplaces.net/cost_of_living/city/california/monterey" xr:uid="{BC93E2CB-49C3-4924-A804-D6C42C39BAEA}"/>
    <hyperlink ref="B13" r:id="rId22" display="San Luis Obispo County Community College District (2021-2023)" xr:uid="{BAADFFDE-9358-4B6D-8870-B4CB3041B193}"/>
    <hyperlink ref="C13" r:id="rId23" display="2024-2025" xr:uid="{7176D5AE-6AD4-41E0-88FC-57071D899134}"/>
    <hyperlink ref="F13" r:id="rId24" display="https://www.bestplaces.net/cost_of_living/city/california/san_luis_obispo" xr:uid="{5ADFAFB7-4A60-4E10-A16F-1ECEA7411A55}"/>
    <hyperlink ref="B10" r:id="rId25" display="State Center Community College District (2018-2021) " xr:uid="{9B9E252B-5246-460C-B63D-9AF6CF7249B6}"/>
    <hyperlink ref="C10" r:id="rId26" display="2021-2022" xr:uid="{04DFBA52-2859-4BA2-872B-5AF907643811}"/>
    <hyperlink ref="F10" r:id="rId27" display="https://www.bestplaces.net/cost_of_living/city/california/fresno" xr:uid="{16A44CFE-E2ED-407C-8C2E-BC03D0E6EFEB}"/>
    <hyperlink ref="B5" r:id="rId28" display="West Kern Community College District (Taft College) (2020-2023)" xr:uid="{F4FB9639-BD8B-43C6-A92D-8461F26D90FE}"/>
    <hyperlink ref="C5" r:id="rId29" display="2024-2025" xr:uid="{F31059EB-BBD5-495D-BCDE-BD613367B99C}"/>
    <hyperlink ref="F5" r:id="rId30" display="https://www.bestplaces.net/cost_of_living/city/california/taft" xr:uid="{9AFE3D48-EEDB-49AB-B3E6-886B33B8175F}"/>
    <hyperlink ref="B6" r:id="rId31" display="West Hills Community College District (2019-2022) " xr:uid="{B6C62AEA-92D8-4D4A-B1AD-4BDE0DC42B02}"/>
    <hyperlink ref="C6" r:id="rId32" display="2021-2022" xr:uid="{5C7A23E5-86B7-469F-B6F4-163C9632605E}"/>
    <hyperlink ref="F6" r:id="rId33" display="https://www.bestplaces.net/cost_of_living/city/california/coalinga" xr:uid="{8DDDD42E-DFB6-4664-A009-D7B53B69B40D}"/>
    <hyperlink ref="C15" r:id="rId34" display="2024-2025" xr:uid="{71F00EFD-E2F1-4B2A-A3D6-BBDB6DE85869}"/>
    <hyperlink ref="B15" r:id="rId35" display="Yosemite Community College District (2020-2023) " xr:uid="{380D9202-2AC8-4679-9A66-EFED9E8B992C}"/>
    <hyperlink ref="F15" r:id="rId36" display="https://www.bestplaces.net/cost_of_living/city/california/modesto" xr:uid="{CF69F0BF-0039-4C7D-93E8-7339E2200F5B}"/>
    <hyperlink ref="C11" r:id="rId37" display="2021-2022" xr:uid="{38A3F430-B84E-4ABB-8BF8-08061D266139}"/>
    <hyperlink ref="O39" r:id="rId38" display="Cabrillo Community College District (2019-2022)" xr:uid="{A7280E14-FB15-412A-8EC6-81148668215F}"/>
    <hyperlink ref="B35" r:id="rId39" display="Cabrillo Community College District (2019-2022)" xr:uid="{93EFF237-4504-46DF-B412-38577DBBC0DD}"/>
    <hyperlink ref="B38" r:id="rId40" display="Gavilan Community College District (2018-2021)" xr:uid="{C3BB394E-B5FF-40FE-A980-F44A17B3BD56}"/>
    <hyperlink ref="B33" r:id="rId41" display="Hartnell Community College District (2019-2022)" xr:uid="{D856648A-E823-42B5-9894-67577A3FAABC}"/>
    <hyperlink ref="B37" r:id="rId42" display="Kern Community College District (2020-2023)" xr:uid="{ED00C286-1052-4DFF-A358-2F462B7F5741}"/>
    <hyperlink ref="B36" r:id="rId43" display="Merced Community College District (2018-2021)" xr:uid="{C6879863-8386-4569-96AF-6242AD521537}"/>
    <hyperlink ref="B30" r:id="rId44" display="Monterey - Peninsula Community College District (2019-2022)" xr:uid="{024FAF16-8E45-42EB-AB53-B36BD7FD98DA}"/>
    <hyperlink ref="B42" r:id="rId45" display="San Luis Obispo County Community College District (2021-2023)" xr:uid="{5B6EF482-BB87-4DE3-95D4-F8751C04881F}"/>
    <hyperlink ref="B27" r:id="rId46" display="State Center Community College District (2018-2021) " xr:uid="{F002D9DD-DB44-458F-80E9-C7BD95C4D369}"/>
    <hyperlink ref="B34" r:id="rId47" display="West Kern Community College District (Taft College) (2020-2023)" xr:uid="{CB8F8ADA-429D-4951-B668-5EED4D4669C1}"/>
    <hyperlink ref="B29" r:id="rId48" display="West Hills Community College District (2019-2022) " xr:uid="{9542C843-519C-4FE9-8B6C-DD7B28808D21}"/>
    <hyperlink ref="B43" r:id="rId49" display="Yosemite Community College District (2020-2023) " xr:uid="{1D5759CB-4022-4A05-898A-DC907C867AA3}"/>
    <hyperlink ref="G33" r:id="rId50" display="Cabrillo Community College District (2019-2022)" xr:uid="{46DBA7C6-B43B-4B0D-A4E7-AE71C16F48E9}"/>
    <hyperlink ref="G39" r:id="rId51" display="Gavilan Community College District (2018-2021)" xr:uid="{0842EE50-EB66-49FA-BA48-7B40C85D374D}"/>
    <hyperlink ref="G32" r:id="rId52" display="Hartnell Community College District (2019-2022)" xr:uid="{FB8F5CA7-F906-4F3F-BFED-7459A141A07D}"/>
    <hyperlink ref="G27" r:id="rId53" display="Kern Community College District (2020-2023)" xr:uid="{E5DC3047-51FD-4A68-AA8F-88FC3C6984A3}"/>
    <hyperlink ref="G35" r:id="rId54" display="Merced Community College District (2018-2021)" xr:uid="{111C3342-4428-4971-AF51-21E8AEFBF5BD}"/>
    <hyperlink ref="G42" r:id="rId55" display="Monterey - Peninsula Community College District (2019-2022)" xr:uid="{2AD28C6B-D931-408C-ACD4-1BAA768E1198}"/>
    <hyperlink ref="G37" r:id="rId56" display="San Luis Obispo County Community College District (2021-2023)" xr:uid="{E0D79E27-BA4A-46AF-A29F-6070D0FBFE29}"/>
    <hyperlink ref="G34" r:id="rId57" display="State Center Community College District (2018-2021) " xr:uid="{40140516-8C1E-4629-BB19-44F401AD3BEC}"/>
    <hyperlink ref="G40" r:id="rId58" display="West Kern Community College District (Taft College) (2020-2023)" xr:uid="{7A444906-FC6F-4437-8B73-C885AF626DAE}"/>
    <hyperlink ref="G36" r:id="rId59" display="West Hills Community College District (2019-2022) " xr:uid="{12B32C1B-564C-41CD-9E20-07BB87A6793A}"/>
    <hyperlink ref="G29" r:id="rId60" display="Yosemite Community College District (2020-2023) " xr:uid="{43001428-47CF-4E48-AC96-93FF5E9E3A3E}"/>
    <hyperlink ref="K39" r:id="rId61" display="Cabrillo Community College District (2019-2022)" xr:uid="{5651C314-7711-4C94-AF75-4FA9ABE44762}"/>
    <hyperlink ref="K36" r:id="rId62" display="Gavilan Community College District (2018-2021)" xr:uid="{CA298B50-193D-48AA-87B3-9BC18C7F7E13}"/>
    <hyperlink ref="K35" r:id="rId63" display="Hartnell Community College District (2019-2022)" xr:uid="{53D117B0-4955-4F8B-8345-8CB940EF2E61}"/>
    <hyperlink ref="K28" r:id="rId64" display="Kern Community College District (2020-2023)" xr:uid="{27027041-A5D6-4973-B5FE-D083780F14BD}"/>
    <hyperlink ref="K30" r:id="rId65" display="Merced Community College District (2018-2021)" xr:uid="{0C5892BF-7DD5-4FC2-AD38-DDAAAEC4D7B1}"/>
    <hyperlink ref="K42" r:id="rId66" display="Monterey - Peninsula Community College District (2019-2022)" xr:uid="{4BFF4F5C-4960-4CFB-92A4-A610ADE11F34}"/>
    <hyperlink ref="K38" r:id="rId67" display="San Luis Obispo County Community College District (2021-2023)" xr:uid="{64BE4337-AF8D-4F66-96BA-81CAF0F34E2A}"/>
    <hyperlink ref="K37" r:id="rId68" display="State Center Community College District (2018-2021) " xr:uid="{3C9B35D7-D88F-446E-A8D5-6D5C0EB13744}"/>
    <hyperlink ref="K29" r:id="rId69" display="West Kern Community College District (Taft College) (2020-2023)" xr:uid="{6A52B045-6A19-4BFC-843D-CD57F40D6A1F}"/>
    <hyperlink ref="K31" r:id="rId70" display="West Hills Community College District (2019-2022) " xr:uid="{518F8057-20AD-4D72-BE88-BA42F1901246}"/>
    <hyperlink ref="K40" r:id="rId71" display="Yosemite Community College District (2020-2023) " xr:uid="{398CE76F-8003-478F-9B95-BB8531FF734E}"/>
    <hyperlink ref="B56" r:id="rId72" display="West Kern Community College District (Taft College) (2020-2023)" xr:uid="{B45A29DC-FB61-444F-B017-545877F53A87}"/>
    <hyperlink ref="B57" r:id="rId73" display="Hartnell Community College District (2019-2022)" xr:uid="{6F0433A6-6D5C-4134-A551-592CACBA72A3}"/>
    <hyperlink ref="B58" r:id="rId74" display="Yosemite Community College District (2020-2023) " xr:uid="{F7DC6DA4-D213-42AB-9976-946CDA6599C7}"/>
    <hyperlink ref="B62" r:id="rId75" display="Gavilan Community College District (2018-2021)" xr:uid="{1986D4B3-5ECA-4972-8FBA-5E0C72C14FBC}"/>
    <hyperlink ref="B66" r:id="rId76" display="Kern Community College District (2020-2023)" xr:uid="{E5FE1CC7-432C-4F08-B8C2-EF32D88056ED}"/>
    <hyperlink ref="B63" r:id="rId77" display="State Center Community College District (2018-2021) " xr:uid="{7B47024E-1240-45E7-AEF9-BD5C7FA84979}"/>
    <hyperlink ref="B67" r:id="rId78" display="San Luis Obispo County Community College District (2021-2023)" xr:uid="{3769D6F1-B26F-451D-A9F4-36E11690F640}"/>
    <hyperlink ref="B69" r:id="rId79" display="Cabrillo Community College District (2019-2022)" xr:uid="{ABDA3917-3618-4FFD-961F-E80BAAF9215D}"/>
    <hyperlink ref="B70" r:id="rId80" display="West Hills Community College District (2019-2022) " xr:uid="{50BCEE48-6F5B-4390-A764-2F93C6FD9E7E}"/>
    <hyperlink ref="B59" r:id="rId81" display="Monterey - Peninsula Community College District (2019-2022)" xr:uid="{4BDAFB8B-FEB3-45A1-B3BF-8F452842122B}"/>
    <hyperlink ref="B71" r:id="rId82" display="Merced Community College District (2018-2021)" xr:uid="{F7561DE1-B2AE-44D3-81B4-8C84463831B6}"/>
    <hyperlink ref="O27" r:id="rId83" display="Kern Community College District (2020-2023)" xr:uid="{1EB317BA-0D99-4A35-AA2A-A93F17EA3C50}"/>
    <hyperlink ref="O30" r:id="rId84" display="Monterey - Peninsula Community College District (2019-2022)" xr:uid="{86822279-240D-4742-90BD-EEC54F03B565}"/>
    <hyperlink ref="O33" r:id="rId85" display="Yosemite Community College District (2020-2023) " xr:uid="{FB8286C2-A534-4909-A15D-6E664351F302}"/>
    <hyperlink ref="O36" r:id="rId86" display="West Kern Community College District (Taft College) (2020-2023)" xr:uid="{7D81C2DD-FCBA-44D5-9EF9-C5F53E811A53}"/>
    <hyperlink ref="O37" r:id="rId87" display="Gavilan Community College District (2018-2021)" xr:uid="{FD99EC55-7258-47DF-8AD8-CF75743784D1}"/>
    <hyperlink ref="O38" r:id="rId88" display="State Center Community College District (2018-2021) " xr:uid="{9C4EE637-4691-4230-8CCD-601077DC9B82}"/>
    <hyperlink ref="O31" r:id="rId89" display="San Luis Obispo County Community College District (2021-2023)" xr:uid="{5D570791-8A22-40D2-AA6E-FAABFF9EE994}"/>
    <hyperlink ref="O42" r:id="rId90" display="West Hills Community College District (2019-2022) " xr:uid="{FE5EA891-7762-47B3-A720-05185BA85311}"/>
    <hyperlink ref="O43" r:id="rId91" display="Hartnell Community College District (2019-2022)" xr:uid="{446E1DB4-B63C-4D79-BADD-E0CD602E63CC}"/>
    <hyperlink ref="O34" r:id="rId92" display="Merced Community College District (2018-2021)" xr:uid="{8BA88242-B4A9-418A-90EF-ACAEE8B2605E}"/>
    <hyperlink ref="S39" r:id="rId93" display="Cabrillo Community College District (2019-2022)" xr:uid="{2C862E79-5C56-4910-BBCF-590559E68B38}"/>
    <hyperlink ref="S35" r:id="rId94" xr:uid="{660FAF02-2394-4427-BE4D-7E8B005AF011}"/>
    <hyperlink ref="S41" r:id="rId95" display="Gavilan Community College District (2018-2021)" xr:uid="{D4838641-F76E-4E68-8247-3A9F3976E533}"/>
    <hyperlink ref="S38" r:id="rId96" display="Hartnell Community College District (2019-2022)" xr:uid="{B2D226C8-B7EE-49EE-9D9F-04BE80016A0C}"/>
    <hyperlink ref="S29" r:id="rId97" display="Kern Community College District (2020-2023)" xr:uid="{C27A8791-C92B-4235-BF00-CDCAB0B30E95}"/>
    <hyperlink ref="S34" r:id="rId98" display="Merced Community College District (2018-2021)" xr:uid="{B37F60D7-2444-4405-A4B5-D0B45C9E5FB4}"/>
    <hyperlink ref="S40" r:id="rId99" display="Monterey - Peninsula Community College District (2019-2022)" xr:uid="{D1870036-1507-4F02-9621-CB19A2DACFDD}"/>
    <hyperlink ref="S37" r:id="rId100" display="San Luis Obispo County Community College District (2021-2023)" xr:uid="{F57ED307-9866-479B-9ED5-9EBF84A637AE}"/>
    <hyperlink ref="S28" r:id="rId101" display="State Center Community College District (2018-2021) " xr:uid="{22185755-1977-487D-A1B7-C88ECF374D48}"/>
    <hyperlink ref="S43" r:id="rId102" display="West Kern Community College District (Taft College) (2020-2023)" xr:uid="{C5EF3B71-804A-4D90-AAF5-35F1EC26DACF}"/>
    <hyperlink ref="S42" r:id="rId103" display="West Hills Community College District (2019-2022) " xr:uid="{2F872C30-410C-47F1-A246-A2E211790932}"/>
    <hyperlink ref="S33" r:id="rId104" display="Yosemite Community College District (2020-2023) " xr:uid="{0E25D814-C294-406C-AD63-E62BAAAFF73F}"/>
    <hyperlink ref="B20" r:id="rId105" display="Allan Hancock CCD (2021-2024)" xr:uid="{2D1601D4-215D-4A68-9EA7-48B96FB7BFD7}"/>
    <hyperlink ref="C20" r:id="rId106" display="2022-2023" xr:uid="{B60441B0-8FEB-4DD3-9EFD-6E0CABFB7CDA}"/>
    <hyperlink ref="F20" r:id="rId107" display="https://www.bestplaces.net/cost_of_living/city/california/santa_maria" xr:uid="{F331B99A-39BF-466D-8BBF-B5F8C7677030}"/>
    <hyperlink ref="C16" r:id="rId108" display="2024-2025" xr:uid="{F0D54AD1-8EE4-40D9-A2EF-F2BBD5B99482}"/>
    <hyperlink ref="C17" r:id="rId109" display="2023-2024" xr:uid="{4B968BFB-6CB7-4DF2-8012-7A5F48716D69}"/>
    <hyperlink ref="B17" r:id="rId110" display="Ventura" xr:uid="{8B4FE84A-8438-4EC6-B32E-E8E609B2F897}"/>
    <hyperlink ref="B16" r:id="rId111" display="Los Rios" xr:uid="{94332F21-7B24-4CB2-A00E-9AD357FC7681}"/>
    <hyperlink ref="F16" r:id="rId112" display="https://www.bestplaces.net/cost_of_living/city/california/sacramento" xr:uid="{4E9B1494-09F0-4115-989A-A91CC387DED9}"/>
    <hyperlink ref="F17" r:id="rId113" display="https://www.bestplaces.net/cost_of_living/city/california/camarillo" xr:uid="{FCF6D3BD-0BA8-4729-9409-AAF36148326B}"/>
    <hyperlink ref="B44" r:id="rId114" display="Los Rios" xr:uid="{53D45710-4703-40FA-9CE1-3C1A8F8B13AA}"/>
    <hyperlink ref="B40" r:id="rId115" display="Allan Hancock CCD (2021-2024)" xr:uid="{7DCB8948-0964-48BD-ABBA-FDB2FE96C7FB}"/>
    <hyperlink ref="B41" r:id="rId116" display="Ventura" xr:uid="{17EA94A6-0BF5-46FC-9A9A-AB5540165BE3}"/>
    <hyperlink ref="G44" r:id="rId117" display="Los Rios" xr:uid="{D1599305-C518-43CF-8B75-C4E81C5E8F33}"/>
    <hyperlink ref="G43" r:id="rId118" display="Ventura" xr:uid="{7015F1F6-48D4-4C17-B819-D7C1FB0B56B9}"/>
    <hyperlink ref="G41" r:id="rId119" display="Allan Hancock CCD (2021-2024)" xr:uid="{36FFD631-5DA8-4AE8-B34A-3A2F40433D6B}"/>
    <hyperlink ref="C19" r:id="rId120" display="2023-2024" xr:uid="{606F6042-900A-4060-9419-E64041562FDA}"/>
    <hyperlink ref="B19" r:id="rId121" display="Contra Costa Community College District (2019-2022)" xr:uid="{7D266F55-5F4D-41D7-8F71-26A93A3EF72D}"/>
    <hyperlink ref="F19" r:id="rId122" display="https://www.bestplaces.net/cost_of_living/city/california/martinez" xr:uid="{2D1FB88E-8E9C-4331-8158-1FB4626C5E96}"/>
    <hyperlink ref="B39" r:id="rId123" display="Contra Costa Community College District (2019-2022)" xr:uid="{52A0797A-C6A4-474C-A916-CD2BAE48FAB1}"/>
    <hyperlink ref="G38" r:id="rId124" display="Contra Costa Community College District (2019-2022)" xr:uid="{ED21D7DD-23D1-4D7D-B5B9-71D8B3D0A87E}"/>
    <hyperlink ref="K44" r:id="rId125" display="Allan Hancock CCD (2021-2024)" xr:uid="{745AD95F-C4A1-4CAF-B203-037D5C10F396}"/>
    <hyperlink ref="K43" r:id="rId126" display="Contra Costa Community College District (2019-2022)" xr:uid="{3131F2E8-4F01-4875-A6CA-2F3A479D9463}"/>
    <hyperlink ref="K41" r:id="rId127" display="Ventura" xr:uid="{58A6291F-FFE4-4697-AF85-F1A08535C096}"/>
    <hyperlink ref="K33" r:id="rId128" display="Los Rios" xr:uid="{EA449280-225C-4A52-9E53-0F7B719E64BD}"/>
    <hyperlink ref="O40" r:id="rId129" display="Ventura" xr:uid="{EB48356C-65A2-4356-B07A-E7B126576162}"/>
    <hyperlink ref="O41" r:id="rId130" display="Los Rios" xr:uid="{E622EBE8-7366-47CD-B43E-1D54B149871B}"/>
    <hyperlink ref="O28" r:id="rId131" display="Allan Hancock CCD (2021-2024)" xr:uid="{2B33C77E-31E7-4C6E-997A-638D7ACFD666}"/>
    <hyperlink ref="O32" r:id="rId132" display="Contra Costa Community College District (2019-2022)" xr:uid="{D952D5A1-1F32-428E-80F6-285FBFD16E2E}"/>
    <hyperlink ref="S36" r:id="rId133" display="Allan Hancock CCD (2021-2024)" xr:uid="{79C1FB30-9336-4F87-9AF4-4F51C9359A6A}"/>
    <hyperlink ref="S27" r:id="rId134" display="Los Rios" xr:uid="{DA8C486A-2FC3-4F09-A1ED-AFC899B54D06}"/>
    <hyperlink ref="S31" r:id="rId135" display="Ventura" xr:uid="{4A1C116D-817C-4BB5-8317-6C8D63B04A00}"/>
    <hyperlink ref="S30" r:id="rId136" display="Contra Costa Community College District (2019-2022)" xr:uid="{8EC9FE19-D8DF-44CE-92B0-B72323D663BD}"/>
    <hyperlink ref="B9" r:id="rId137" display="San Joaquin Delta (2024-2027)" xr:uid="{91C26DA3-04AD-499B-9D45-B4422162FF02}"/>
    <hyperlink ref="B31" r:id="rId138" xr:uid="{1DA02462-C7DF-4F39-8622-E41711093CEE}"/>
    <hyperlink ref="C9" r:id="rId139" display="2024-2025" xr:uid="{3D004898-3E0B-4ACF-B9E3-C05FAA469E97}"/>
    <hyperlink ref="F9" r:id="rId140" display="https://www.bestplaces.net/cost_of_living/city/california/stockton" xr:uid="{163BB8E3-B574-4BDA-AD51-17D272E1C73B}"/>
    <hyperlink ref="B61" r:id="rId141" xr:uid="{1D9E4BCA-A84C-4AD7-8EF5-55D5DC8EB50A}"/>
    <hyperlink ref="G31" r:id="rId142" xr:uid="{2230B819-6E47-4114-885A-C9E92557E79B}"/>
    <hyperlink ref="K34" r:id="rId143" xr:uid="{63AEB30A-BF61-4E84-8419-1D104E2685D9}"/>
    <hyperlink ref="O35" r:id="rId144" xr:uid="{BA9C82BA-608B-480B-8094-E229E7F7E197}"/>
    <hyperlink ref="S32" r:id="rId145" xr:uid="{F849102D-D59A-459A-8D6D-1D58328366EA}"/>
    <hyperlink ref="B60" r:id="rId146" display="Allan Hancock CCD (2021-2024)" xr:uid="{08C37731-D467-4BF6-A13C-5572E7BBD098}"/>
    <hyperlink ref="B65" r:id="rId147" display="Ventura" xr:uid="{DB5C4560-68E3-4E2A-90FC-9EC1A8B5FCF8}"/>
    <hyperlink ref="B64" r:id="rId148" display="Los Rios" xr:uid="{1A4BD759-E820-4297-A8D9-C824252D3852}"/>
    <hyperlink ref="B32" r:id="rId149" display="College of the Sequoias (2021-2024)" xr:uid="{8357905E-C235-4C14-A80D-969EF9BFE203}"/>
    <hyperlink ref="G28" r:id="rId150" display="College of the Sequoias (2021-2024)" xr:uid="{167EDFC4-5C5F-4850-9912-57801561BE24}"/>
    <hyperlink ref="K27" r:id="rId151" display="College of the Sequoias (2021-2024)" xr:uid="{D5E36663-32CC-4D1A-BD92-258E3F86B0EF}"/>
    <hyperlink ref="B68" r:id="rId152" display="College of the Sequoias (2021-2024)" xr:uid="{985CE518-035F-4AE9-86C7-DFBC21E95430}"/>
    <hyperlink ref="O29" r:id="rId153" display="College of the Sequoias (2021-2024)" xr:uid="{3A53F7F0-B6D8-4D89-8E5F-50E8625E3309}"/>
    <hyperlink ref="N3" r:id="rId154" display="https://www.salary.com/research/cost-of-living/compare/visalia-ca/fresno-ca" xr:uid="{3B35794F-D93A-48F1-A9A6-B177B4A3386F}"/>
    <hyperlink ref="N4" r:id="rId155" display="https://www.salary.com/research/cost-of-living/compare/bakersfield-ca/fresno-ca" xr:uid="{605C9ED6-63CF-401F-8B9C-AEC729129D63}"/>
    <hyperlink ref="N5" r:id="rId156" display="https://www.salary.com/research/cost-of-living/compare/taft-ca/fresno-ca" xr:uid="{5345A0B6-4042-4068-BCDF-87FA25D84EE3}"/>
    <hyperlink ref="N11" r:id="rId157" display="https://www.salary.com/research/cost-of-living/compare/salinas-ca/fresno-ca" xr:uid="{438B5208-BE15-4B97-B531-4C1A39B784EB}"/>
    <hyperlink ref="N9" r:id="rId158" display="https://www.salary.com/research/cost-of-living/compare/stockton-ca/fresno-ca" xr:uid="{0BAC8D6C-3FA9-4D07-B406-22EC1C0D203B}"/>
    <hyperlink ref="N7" r:id="rId159" display="https://www.salary.com/research/cost-of-living/compare/merced-ca/fresno-ca" xr:uid="{E8901E45-4190-4562-8B23-FEA86F6890B0}"/>
    <hyperlink ref="N14" r:id="rId160" display="https://www.salary.com/research/cost-of-living/compare/aptos-ca/fresno-ca" xr:uid="{FC6C3052-1ADA-427E-9D14-DE62F0720552}"/>
    <hyperlink ref="N12" r:id="rId161" display="https://www.salary.com/research/cost-of-living/compare/gilroy-ca/fresno-ca" xr:uid="{94BED791-FA6F-49DB-BEEA-BF8D387DD972}"/>
    <hyperlink ref="N13" r:id="rId162" display="https://www.salary.com/research/cost-of-living/compare/san-luis-obispo-ca/fresno-ca" xr:uid="{D429811A-F57E-4837-9C13-B996A394932D}"/>
    <hyperlink ref="N17" r:id="rId163" display="https://www.salary.com/research/cost-of-living/compare/camarillo-ca/fresno-ca" xr:uid="{F9DEB0C0-CBF9-4912-8EEF-6232300099C7}"/>
    <hyperlink ref="N18" r:id="rId164" display="https://www.salary.com/research/cost-of-living/compare/monterey-ca/fresno-ca" xr:uid="{66A0CB15-B425-4A07-BC7A-D187606860AC}"/>
    <hyperlink ref="N16" r:id="rId165" display="https://www.salary.com/research/cost-of-living/compare/sacramento-ca/fresno-ca" xr:uid="{050338FD-F4DD-4A4A-AB69-2DBE41D11242}"/>
    <hyperlink ref="N15" r:id="rId166" display="https://www.salary.com/research/cost-of-living/compare/modesto-ca/fresno-ca" xr:uid="{26ABC667-0F5D-4448-A92A-4762EB91758A}"/>
    <hyperlink ref="N19" r:id="rId167" display="https://www.salary.com/research/cost-of-living/compare/martinez-ca/fresno-ca" xr:uid="{A4C5E114-692A-49AB-B6E7-6F58F5CBD81B}"/>
    <hyperlink ref="N20" r:id="rId168" display="https://www.salary.com/research/cost-of-living/compare/santa-maria-ca/fresno-ca" xr:uid="{E78B144F-F7E4-4E03-A9A8-EB8E0751608F}"/>
    <hyperlink ref="N6" r:id="rId169" display="https://www.salary.com/research/cost-of-living/compare/coalinga-ca/fresno-ca" xr:uid="{8E6F9282-2F6C-4625-801A-CDE403CCB835}"/>
    <hyperlink ref="B8" r:id="rId170" display="State Center Community College District (2018-2021) " xr:uid="{9D97D9A6-FC42-471A-88FC-D163E3AE9F89}"/>
    <hyperlink ref="C8" r:id="rId171" display="2021-2022" xr:uid="{4DA4E8F6-D25C-4D50-A933-D2F92C17420F}"/>
    <hyperlink ref="F8" r:id="rId172" display="https://www.bestplaces.net/cost_of_living/city/california/fresno" xr:uid="{B8A2CE8C-4CF8-48DE-8B1F-003463C566C0}"/>
    <hyperlink ref="B28" r:id="rId173" display="State Center Community College District (2018-2021) " xr:uid="{5F7B282F-8C02-4F3D-BAD9-C7B4B4EBCBD6}"/>
    <hyperlink ref="G30" r:id="rId174" display="State Center Community College District (2018-2021) " xr:uid="{0CAA8A57-8900-45A4-9C1A-4AA433148BD3}"/>
    <hyperlink ref="K32" r:id="rId175" display="State Center Community College District (2018-2021) " xr:uid="{0F4835EF-2BD8-4C88-B9C4-A990445BD7CB}"/>
    <hyperlink ref="Q20" r:id="rId176" display="https://www.salary.com/research/cost-of-living/compare/fresno-ca/santa-maria-ca" xr:uid="{985B0F79-E80D-4DC6-A786-9691F2DD9F92}"/>
    <hyperlink ref="Q19" r:id="rId177" display="https://www.salary.com/research/cost-of-living/compare/fresno-ca/martinez-ca" xr:uid="{DE1CBCA6-2C73-4823-A57C-FE1A82D42E0E}"/>
    <hyperlink ref="Q15" r:id="rId178" display="https://www.salary.com/research/cost-of-living/compare/fresno-ca/modesto-ca" xr:uid="{59C60ADC-EC5F-4223-B863-409BD54C3484}"/>
    <hyperlink ref="Q16" r:id="rId179" display="https://www.salary.com/research/cost-of-living/compare/fresno-ca/sacramento-ca" xr:uid="{EEA7657F-87AA-42FE-AB09-9E20E278EF5B}"/>
    <hyperlink ref="Q18" r:id="rId180" display="https://www.salary.com/research/cost-of-living/compare/fresno-ca/monterey-ca" xr:uid="{D11D5B0C-280C-4723-82B9-00EEDB4300B6}"/>
    <hyperlink ref="Q17" r:id="rId181" display="https://www.salary.com/research/cost-of-living/compare/fresno-ca/camarillo-ca" xr:uid="{C5DE15B7-90BA-4830-B217-697F93AA44ED}"/>
    <hyperlink ref="Q13" r:id="rId182" display="https://www.salary.com/research/cost-of-living/compare/fresno-ca/san-luis-obispo-ca" xr:uid="{A6667D1D-9687-413C-B4EE-47C26C1E2650}"/>
    <hyperlink ref="Q12" r:id="rId183" display="https://www.salary.com/research/cost-of-living/compare/fresno-ca/gilroy-ca" xr:uid="{760D9CF6-A4A6-4BF7-A943-00EB9217DC65}"/>
    <hyperlink ref="Q14" r:id="rId184" display="https://www.salary.com/research/cost-of-living/compare/fresno-ca/aptos-ca" xr:uid="{4A6E9EC2-6C39-4DB6-A388-78FBDDC64966}"/>
    <hyperlink ref="Q7" r:id="rId185" display="https://www.salary.com/research/cost-of-living/compare/fresno-ca/merced-ca" xr:uid="{552A5130-4470-4D08-B351-D399E8057F3A}"/>
    <hyperlink ref="Q9" r:id="rId186" display="https://www.salary.com/research/cost-of-living/compare/fresno-ca/stockton-ca" xr:uid="{9412D0D6-0247-4DA6-B620-8D64ACC77F0A}"/>
    <hyperlink ref="Q11" r:id="rId187" display="https://www.salary.com/research/cost-of-living/compare/fresno-ca/salinas-ca" xr:uid="{828E6CA2-B3D1-4366-B4F5-6F6CEF292486}"/>
    <hyperlink ref="Q5" r:id="rId188" display="https://www.salary.com/research/cost-of-living/compare/fresno-ca/taft-ca" xr:uid="{E26F7B46-8BB4-48F1-8749-0244CC50321E}"/>
    <hyperlink ref="Q4" r:id="rId189" display="https://www.salary.com/research/cost-of-living/compare/fresno-ca/bakersfield-ca" xr:uid="{153BF2BF-86E8-4817-8396-2F2135CDA8FF}"/>
    <hyperlink ref="Q6" r:id="rId190" display="https://www.salary.com/research/cost-of-living/compare/fresno-ca/coalinga-ca" xr:uid="{08CA257B-4FAF-4E86-8E6E-EBF84272F9BA}"/>
    <hyperlink ref="Q3" r:id="rId191" display="https://www.salary.com/research/cost-of-living/compare/fresno-ca/visalia-ca" xr:uid="{35A6B813-A2F4-41A6-9850-2248C758FEA9}"/>
    <hyperlink ref="R4" r:id="rId192" display="https://www.salary.com/research/cost-of-living/compare/fresno-ca/bakersfield-ca" xr:uid="{2DA97C9B-66DD-4505-B4BD-2FBD770836FD}"/>
    <hyperlink ref="R3" r:id="rId193" display="https://www.salary.com/research/cost-of-living/compare/fresno-ca/visalia-ca" xr:uid="{51EC5633-28F0-4956-8D4A-956976A3E574}"/>
    <hyperlink ref="R6" r:id="rId194" display="https://www.salary.com/research/cost-of-living/compare/fresno-ca/coalinga-ca" xr:uid="{EB824F37-2624-46B9-A094-10EB9FD6000A}"/>
    <hyperlink ref="R5" r:id="rId195" display="https://www.salary.com/research/cost-of-living/compare/fresno-ca/taft-ca" xr:uid="{BBCBAA68-E965-4E46-BFF0-06429580BD53}"/>
    <hyperlink ref="R11" r:id="rId196" display="https://www.salary.com/research/cost-of-living/compare/fresno-ca/salinas-ca" xr:uid="{EA6DB782-BD5A-436C-AA04-82393C6D98C9}"/>
    <hyperlink ref="R9" r:id="rId197" display="https://www.salary.com/research/cost-of-living/compare/fresno-ca/stockton-ca" xr:uid="{0C84657D-4460-49C0-A345-EDFD5828EDED}"/>
    <hyperlink ref="R7" r:id="rId198" display="https://www.salary.com/research/cost-of-living/compare/fresno-ca/merced-ca" xr:uid="{311423BF-129F-4FA9-8046-26E4CB4ED943}"/>
    <hyperlink ref="R14" r:id="rId199" display="https://www.salary.com/research/cost-of-living/compare/fresno-ca/aptos-ca" xr:uid="{6325E4D8-0A8E-461E-A94E-4E7B3DF4405F}"/>
    <hyperlink ref="R12" r:id="rId200" display="https://www.salary.com/research/cost-of-living/compare/fresno-ca/gilroy-ca" xr:uid="{5458884E-2EFB-416F-8370-664894432B40}"/>
    <hyperlink ref="R13" r:id="rId201" display="https://www.salary.com/research/cost-of-living/compare/fresno-ca/san-luis-obispo-ca" xr:uid="{42F2C1DC-FA8C-4611-A765-B4495571DACB}"/>
    <hyperlink ref="R17" r:id="rId202" display="https://www.salary.com/research/cost-of-living/compare/fresno-ca/camarillo-ca" xr:uid="{12550BF3-A224-4E0D-B61A-B78479D22AF4}"/>
    <hyperlink ref="R18" r:id="rId203" display="https://www.salary.com/research/cost-of-living/compare/fresno-ca/monterey-ca" xr:uid="{060B4B6A-19BF-481B-AF1E-70ABE7EA27BD}"/>
    <hyperlink ref="R16" r:id="rId204" display="https://www.salary.com/research/cost-of-living/compare/fresno-ca/sacramento-ca" xr:uid="{8CBDF535-D4A0-4B91-B4AF-DE609391ED02}"/>
    <hyperlink ref="R15" r:id="rId205" display="https://www.salary.com/research/cost-of-living/compare/fresno-ca/modesto-ca" xr:uid="{A821EFCC-2961-48AB-B1DA-E9152F1367C3}"/>
    <hyperlink ref="R19" r:id="rId206" display="https://www.salary.com/research/cost-of-living/compare/fresno-ca/martinez-ca" xr:uid="{80081BD3-1C2C-4A49-8D6E-5B3DC2BA4939}"/>
    <hyperlink ref="R20" r:id="rId207" display="https://www.salary.com/research/cost-of-living/compare/fresno-ca/santa-maria-ca" xr:uid="{6D42F352-19CD-4553-9503-0EEF45788317}"/>
  </hyperlinks>
  <pageMargins left="0.25" right="0.25" top="0.75" bottom="0.75" header="0.3" footer="0.3"/>
  <pageSetup paperSize="5" scale="27" fitToHeight="0" orientation="landscape" r:id="rId208"/>
  <drawing r:id="rId209"/>
  <legacyDrawing r:id="rId210"/>
  <tableParts count="4">
    <tablePart r:id="rId211"/>
    <tablePart r:id="rId212"/>
    <tablePart r:id="rId213"/>
    <tablePart r:id="rId214"/>
  </tableParts>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22:E55"/>
  <sheetViews>
    <sheetView zoomScale="80" zoomScaleNormal="80" workbookViewId="0">
      <selection activeCell="C47" sqref="C47"/>
    </sheetView>
  </sheetViews>
  <sheetFormatPr defaultColWidth="9.140625" defaultRowHeight="15" x14ac:dyDescent="0.2"/>
  <cols>
    <col min="1" max="1" width="4.7109375" style="78" customWidth="1"/>
    <col min="2" max="2" width="47.42578125" style="78" customWidth="1"/>
    <col min="3" max="3" width="36.85546875" style="78" customWidth="1"/>
    <col min="4" max="4" width="51.140625" style="78" customWidth="1"/>
    <col min="5" max="5" width="36.85546875" style="78" customWidth="1"/>
    <col min="6" max="6" width="41.7109375" style="78" customWidth="1"/>
    <col min="7" max="7" width="15" style="78" customWidth="1"/>
    <col min="8" max="8" width="9.140625" style="78"/>
    <col min="9" max="9" width="11.42578125" style="78" customWidth="1"/>
    <col min="10" max="10" width="9.140625" style="78"/>
    <col min="11" max="12" width="12.7109375" style="78" customWidth="1"/>
    <col min="13" max="16384" width="9.140625" style="78"/>
  </cols>
  <sheetData>
    <row r="22" spans="1:5" ht="15.75" thickBot="1" x14ac:dyDescent="0.25"/>
    <row r="23" spans="1:5" ht="33.75" customHeight="1" thickBot="1" x14ac:dyDescent="0.25">
      <c r="A23" s="128" t="s">
        <v>106</v>
      </c>
      <c r="B23" s="425" t="s">
        <v>29</v>
      </c>
      <c r="C23" s="404" t="s">
        <v>97</v>
      </c>
      <c r="D23" s="404" t="s">
        <v>19</v>
      </c>
      <c r="E23" s="402" t="s">
        <v>104</v>
      </c>
    </row>
    <row r="24" spans="1:5" x14ac:dyDescent="0.2">
      <c r="A24" s="416">
        <v>1</v>
      </c>
      <c r="B24" s="451" t="s">
        <v>159</v>
      </c>
      <c r="C24" s="459">
        <v>184165.24</v>
      </c>
      <c r="D24" s="172">
        <v>175</v>
      </c>
      <c r="E24" s="419">
        <f t="shared" ref="E24:E41" si="0">C24/D24</f>
        <v>1052.3727999999999</v>
      </c>
    </row>
    <row r="25" spans="1:5" ht="30" x14ac:dyDescent="0.2">
      <c r="A25" s="417">
        <v>2</v>
      </c>
      <c r="B25" s="452" t="s">
        <v>142</v>
      </c>
      <c r="C25" s="403">
        <v>160191</v>
      </c>
      <c r="D25" s="153">
        <v>177</v>
      </c>
      <c r="E25" s="419">
        <f t="shared" si="0"/>
        <v>905.03389830508479</v>
      </c>
    </row>
    <row r="26" spans="1:5" ht="30" x14ac:dyDescent="0.2">
      <c r="A26" s="417">
        <v>3</v>
      </c>
      <c r="B26" s="452" t="s">
        <v>139</v>
      </c>
      <c r="C26" s="460">
        <v>154982</v>
      </c>
      <c r="D26" s="153">
        <v>175</v>
      </c>
      <c r="E26" s="419">
        <f t="shared" si="0"/>
        <v>885.61142857142852</v>
      </c>
    </row>
    <row r="27" spans="1:5" ht="30" x14ac:dyDescent="0.2">
      <c r="A27" s="417">
        <v>4</v>
      </c>
      <c r="B27" s="452" t="s">
        <v>134</v>
      </c>
      <c r="C27" s="413">
        <v>154352.71</v>
      </c>
      <c r="D27" s="153">
        <v>175</v>
      </c>
      <c r="E27" s="419">
        <f t="shared" si="0"/>
        <v>882.01548571428566</v>
      </c>
    </row>
    <row r="28" spans="1:5" ht="30" x14ac:dyDescent="0.2">
      <c r="A28" s="417">
        <v>5</v>
      </c>
      <c r="B28" s="340" t="s">
        <v>181</v>
      </c>
      <c r="C28" s="344">
        <f>(151012*3.3%)+151012</f>
        <v>155995.39600000001</v>
      </c>
      <c r="D28" s="372">
        <v>178</v>
      </c>
      <c r="E28" s="420">
        <f t="shared" si="0"/>
        <v>876.37862921348324</v>
      </c>
    </row>
    <row r="29" spans="1:5" ht="30" x14ac:dyDescent="0.2">
      <c r="A29" s="417">
        <v>6</v>
      </c>
      <c r="B29" s="452" t="s">
        <v>136</v>
      </c>
      <c r="C29" s="403">
        <v>149099</v>
      </c>
      <c r="D29" s="153">
        <v>175</v>
      </c>
      <c r="E29" s="419">
        <f t="shared" si="0"/>
        <v>851.99428571428575</v>
      </c>
    </row>
    <row r="30" spans="1:5" x14ac:dyDescent="0.2">
      <c r="A30" s="417">
        <v>7</v>
      </c>
      <c r="B30" s="452" t="s">
        <v>157</v>
      </c>
      <c r="C30" s="403">
        <v>147880</v>
      </c>
      <c r="D30" s="153">
        <v>175.5</v>
      </c>
      <c r="E30" s="419">
        <f t="shared" si="0"/>
        <v>842.62108262108256</v>
      </c>
    </row>
    <row r="31" spans="1:5" ht="30" x14ac:dyDescent="0.2">
      <c r="A31" s="417">
        <v>8</v>
      </c>
      <c r="B31" s="452" t="s">
        <v>151</v>
      </c>
      <c r="C31" s="413">
        <v>137884</v>
      </c>
      <c r="D31" s="153">
        <v>164</v>
      </c>
      <c r="E31" s="419">
        <f t="shared" si="0"/>
        <v>840.7560975609756</v>
      </c>
    </row>
    <row r="32" spans="1:5" ht="30" x14ac:dyDescent="0.2">
      <c r="A32" s="417">
        <v>9</v>
      </c>
      <c r="B32" s="452" t="s">
        <v>140</v>
      </c>
      <c r="C32" s="403">
        <v>144970</v>
      </c>
      <c r="D32" s="153">
        <v>175</v>
      </c>
      <c r="E32" s="419">
        <f t="shared" si="0"/>
        <v>828.4</v>
      </c>
    </row>
    <row r="33" spans="1:5" ht="29.25" customHeight="1" x14ac:dyDescent="0.2">
      <c r="A33" s="417">
        <v>10</v>
      </c>
      <c r="B33" s="348" t="s">
        <v>137</v>
      </c>
      <c r="C33" s="352">
        <v>147346</v>
      </c>
      <c r="D33" s="236">
        <v>178</v>
      </c>
      <c r="E33" s="421">
        <f t="shared" si="0"/>
        <v>827.78651685393254</v>
      </c>
    </row>
    <row r="34" spans="1:5" ht="30" x14ac:dyDescent="0.2">
      <c r="A34" s="417">
        <v>11</v>
      </c>
      <c r="B34" s="452" t="s">
        <v>141</v>
      </c>
      <c r="C34" s="462">
        <v>141835</v>
      </c>
      <c r="D34" s="153">
        <v>175</v>
      </c>
      <c r="E34" s="419">
        <f t="shared" si="0"/>
        <v>810.48571428571427</v>
      </c>
    </row>
    <row r="35" spans="1:5" ht="30" x14ac:dyDescent="0.2">
      <c r="A35" s="417">
        <v>12</v>
      </c>
      <c r="B35" s="452" t="s">
        <v>132</v>
      </c>
      <c r="C35" s="403">
        <v>141663</v>
      </c>
      <c r="D35" s="153">
        <v>175</v>
      </c>
      <c r="E35" s="419">
        <f t="shared" si="0"/>
        <v>809.50285714285712</v>
      </c>
    </row>
    <row r="36" spans="1:5" ht="30" x14ac:dyDescent="0.2">
      <c r="A36" s="417">
        <v>13</v>
      </c>
      <c r="B36" s="452" t="s">
        <v>131</v>
      </c>
      <c r="C36" s="403">
        <v>140601</v>
      </c>
      <c r="D36" s="153">
        <v>175</v>
      </c>
      <c r="E36" s="419">
        <f t="shared" si="0"/>
        <v>803.43428571428569</v>
      </c>
    </row>
    <row r="37" spans="1:5" ht="30" x14ac:dyDescent="0.2">
      <c r="A37" s="417">
        <v>14</v>
      </c>
      <c r="B37" s="452" t="s">
        <v>135</v>
      </c>
      <c r="C37" s="403">
        <v>139768.37</v>
      </c>
      <c r="D37" s="153">
        <v>175</v>
      </c>
      <c r="E37" s="419">
        <f t="shared" si="0"/>
        <v>798.67639999999994</v>
      </c>
    </row>
    <row r="38" spans="1:5" ht="30" x14ac:dyDescent="0.2">
      <c r="A38" s="417">
        <v>15</v>
      </c>
      <c r="B38" s="452" t="s">
        <v>138</v>
      </c>
      <c r="C38" s="403">
        <f>135222+2332</f>
        <v>137554</v>
      </c>
      <c r="D38" s="153">
        <v>175.5</v>
      </c>
      <c r="E38" s="419">
        <f t="shared" si="0"/>
        <v>783.78347578347575</v>
      </c>
    </row>
    <row r="39" spans="1:5" x14ac:dyDescent="0.2">
      <c r="A39" s="417">
        <v>16</v>
      </c>
      <c r="B39" s="452" t="s">
        <v>153</v>
      </c>
      <c r="C39" s="413">
        <v>132423.79999999999</v>
      </c>
      <c r="D39" s="153">
        <v>175</v>
      </c>
      <c r="E39" s="419">
        <f t="shared" si="0"/>
        <v>756.70742857142852</v>
      </c>
    </row>
    <row r="40" spans="1:5" ht="30" x14ac:dyDescent="0.2">
      <c r="A40" s="417">
        <v>17</v>
      </c>
      <c r="B40" s="452" t="s">
        <v>154</v>
      </c>
      <c r="C40" s="413">
        <v>132264</v>
      </c>
      <c r="D40" s="153">
        <v>175</v>
      </c>
      <c r="E40" s="419">
        <f t="shared" si="0"/>
        <v>755.79428571428571</v>
      </c>
    </row>
    <row r="41" spans="1:5" ht="15.75" thickBot="1" x14ac:dyDescent="0.25">
      <c r="A41" s="418">
        <v>18</v>
      </c>
      <c r="B41" s="452" t="s">
        <v>152</v>
      </c>
      <c r="C41" s="413">
        <v>127485</v>
      </c>
      <c r="D41" s="423">
        <v>175</v>
      </c>
      <c r="E41" s="424">
        <f t="shared" si="0"/>
        <v>728.48571428571427</v>
      </c>
    </row>
    <row r="43" spans="1:5" ht="15.75" thickBot="1" x14ac:dyDescent="0.25"/>
    <row r="44" spans="1:5" ht="16.5" thickBot="1" x14ac:dyDescent="0.3">
      <c r="D44" s="115" t="s">
        <v>105</v>
      </c>
      <c r="E44" s="117">
        <f>AVERAGE(E24:E41)</f>
        <v>835.5466881140178</v>
      </c>
    </row>
    <row r="45" spans="1:5" ht="16.5" thickBot="1" x14ac:dyDescent="0.3">
      <c r="D45" s="115" t="s">
        <v>99</v>
      </c>
      <c r="E45" s="117">
        <f>MEDIAN(E24:E41)</f>
        <v>828.09325842696626</v>
      </c>
    </row>
    <row r="46" spans="1:5" ht="16.5" thickBot="1" x14ac:dyDescent="0.3">
      <c r="D46" s="84"/>
      <c r="E46" s="133"/>
    </row>
    <row r="47" spans="1:5" ht="16.5" thickBot="1" x14ac:dyDescent="0.3">
      <c r="D47" s="383" t="s">
        <v>193</v>
      </c>
      <c r="E47" s="388">
        <f>E44-E33</f>
        <v>7.7601712600852579</v>
      </c>
    </row>
    <row r="48" spans="1:5" ht="16.5" thickBot="1" x14ac:dyDescent="0.3">
      <c r="D48" s="385" t="s">
        <v>194</v>
      </c>
      <c r="E48" s="388">
        <f>E45-E33</f>
        <v>0.30674157303371885</v>
      </c>
    </row>
    <row r="49" spans="4:5" ht="15.75" thickBot="1" x14ac:dyDescent="0.25">
      <c r="D49" s="168" t="s">
        <v>88</v>
      </c>
      <c r="E49" s="169">
        <f>(E47/E33)</f>
        <v>9.3746045654118596E-3</v>
      </c>
    </row>
    <row r="50" spans="4:5" ht="15.75" thickBot="1" x14ac:dyDescent="0.25">
      <c r="D50" s="168" t="s">
        <v>89</v>
      </c>
      <c r="E50" s="169">
        <f>(E48/E33)</f>
        <v>3.7055637750601958E-4</v>
      </c>
    </row>
    <row r="51" spans="4:5" ht="15.75" thickBot="1" x14ac:dyDescent="0.25">
      <c r="D51" s="370"/>
      <c r="E51" s="134"/>
    </row>
    <row r="52" spans="4:5" ht="32.25" thickBot="1" x14ac:dyDescent="0.3">
      <c r="D52" s="386" t="s">
        <v>182</v>
      </c>
      <c r="E52" s="387">
        <f>E28-E44</f>
        <v>40.831941099465439</v>
      </c>
    </row>
    <row r="53" spans="4:5" ht="32.25" thickBot="1" x14ac:dyDescent="0.3">
      <c r="D53" s="386" t="s">
        <v>183</v>
      </c>
      <c r="E53" s="387">
        <f>E28-E45</f>
        <v>48.285370786516978</v>
      </c>
    </row>
    <row r="54" spans="4:5" ht="15.75" thickBot="1" x14ac:dyDescent="0.25">
      <c r="D54" s="168" t="s">
        <v>88</v>
      </c>
      <c r="E54" s="169">
        <f>-(E52/E28)</f>
        <v>-4.659166681883898E-2</v>
      </c>
    </row>
    <row r="55" spans="4:5" ht="15.75" thickBot="1" x14ac:dyDescent="0.25">
      <c r="D55" s="168" t="s">
        <v>89</v>
      </c>
      <c r="E55" s="169">
        <f>-(E53/E28)</f>
        <v>-5.5096472206141396E-2</v>
      </c>
    </row>
  </sheetData>
  <sortState xmlns:xlrd2="http://schemas.microsoft.com/office/spreadsheetml/2017/richdata2" ref="B24:E40">
    <sortCondition descending="1" ref="E23:E40"/>
  </sortState>
  <hyperlinks>
    <hyperlink ref="B36" r:id="rId1" display="Cabrillo Community College District (2019-2022)" xr:uid="{5FF499DC-3863-4356-9285-CF13ACF4363F}"/>
    <hyperlink ref="B24" r:id="rId2" display="College of the Sequoias (2021-2024)" xr:uid="{AA1624E9-26C5-4D23-AD70-B5789FF4552E}"/>
    <hyperlink ref="B37" r:id="rId3" display="Gavilan Community College District (2018-2021)" xr:uid="{D54435D1-DF6A-4C0C-80F6-1D7B2E7CFE15}"/>
    <hyperlink ref="B32" r:id="rId4" display="Hartnell Community College District (2019-2022)" xr:uid="{D6C0927E-3798-449C-BAC0-4084E5DE473B}"/>
    <hyperlink ref="B27" r:id="rId5" display="Kern Community College District (2020-2023)" xr:uid="{53C30A36-EF58-494C-8EED-3C7B247B1FEB}"/>
    <hyperlink ref="B26" r:id="rId6" display="Merced Community College District (2018-2021)" xr:uid="{EEFD5727-129C-4586-BE40-F1FBF1A2086B}"/>
    <hyperlink ref="B38" r:id="rId7" display="Monterey - Peninsula Community College District (2019-2022)" xr:uid="{642DA095-1E7E-4092-8F37-C7806CF8C1EA}"/>
    <hyperlink ref="B35" r:id="rId8" display="San Luis Obispo County Community College District (2021-2023)" xr:uid="{8564AA9E-174F-435E-8C37-7942D54290D9}"/>
    <hyperlink ref="B33" r:id="rId9" display="State Center Community College District (2018-2021) " xr:uid="{46F0935F-A5CB-4D32-B65E-0E7FE76F3E2E}"/>
    <hyperlink ref="B29" r:id="rId10" display="West Kern Community College District (Taft College) (2020-2023)" xr:uid="{28680546-7D8B-4C66-8641-67D2396E75F9}"/>
    <hyperlink ref="B25" r:id="rId11" display="West Hills Community College District (2019-2022) " xr:uid="{61634EF3-3FEC-4761-9855-B08F864CEC44}"/>
    <hyperlink ref="B34" r:id="rId12" display="Yosemite Community College District (2020-2023) " xr:uid="{FB2673F9-EAFA-4502-9E30-583480FDE83C}"/>
    <hyperlink ref="B41" r:id="rId13" display="Allan Hancock CCD (2021-2024)" xr:uid="{CAB05EF2-E7B8-4402-8299-5651E3259BE6}"/>
    <hyperlink ref="B39" r:id="rId14" display="Ventura" xr:uid="{6BEFC2BA-3825-4998-B771-CCD6FDAB0936}"/>
    <hyperlink ref="B31" r:id="rId15" display="Los Rios" xr:uid="{D10D30AA-B93B-4E23-96AD-D93A441B4A22}"/>
    <hyperlink ref="B40" r:id="rId16" display="Contra Costa Community College District (2019-2022)" xr:uid="{81103C26-B43B-496E-9CD2-C8E388EFDB8D}"/>
    <hyperlink ref="B30" r:id="rId17" display="San Joaquin Delta (2024-2027)" xr:uid="{04CD5308-0A8F-4A65-85A8-AFCCDD89A8C3}"/>
    <hyperlink ref="B28" r:id="rId18" display="State Center Community College District (2018-2021) " xr:uid="{6C2D7DA4-A7F0-476B-8668-D2EDB6B2FC1E}"/>
  </hyperlinks>
  <pageMargins left="0.25" right="0.25" top="0.75" bottom="0.75" header="0.3" footer="0.3"/>
  <pageSetup scale="52" orientation="landscape" r:id="rId19"/>
  <drawing r:id="rId20"/>
  <legacyDrawing r:id="rId21"/>
  <tableParts count="1">
    <tablePart r:id="rId22"/>
  </tableParts>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35:Q57"/>
  <sheetViews>
    <sheetView topLeftCell="A10" zoomScale="90" zoomScaleNormal="90" workbookViewId="0">
      <selection activeCell="F56" sqref="F56"/>
    </sheetView>
  </sheetViews>
  <sheetFormatPr defaultColWidth="9.140625" defaultRowHeight="15" x14ac:dyDescent="0.2"/>
  <cols>
    <col min="1" max="1" width="4.7109375" style="78" customWidth="1"/>
    <col min="2" max="2" width="44.85546875" style="78" customWidth="1"/>
    <col min="3" max="3" width="32.5703125" style="78" customWidth="1"/>
    <col min="4" max="4" width="32.7109375" style="78" customWidth="1"/>
    <col min="5" max="6" width="29.42578125" style="78" customWidth="1"/>
    <col min="7" max="7" width="6" style="78" customWidth="1"/>
    <col min="8" max="8" width="20.85546875" style="78" customWidth="1"/>
    <col min="9" max="16384" width="9.140625" style="78"/>
  </cols>
  <sheetData>
    <row r="35" spans="1:16" ht="15.75" thickBot="1" x14ac:dyDescent="0.25"/>
    <row r="36" spans="1:16" ht="36" thickBot="1" x14ac:dyDescent="0.25">
      <c r="A36" s="130" t="s">
        <v>106</v>
      </c>
      <c r="B36" s="433" t="s">
        <v>29</v>
      </c>
      <c r="C36" s="434" t="s">
        <v>97</v>
      </c>
      <c r="D36" s="431" t="s">
        <v>144</v>
      </c>
      <c r="E36" s="404" t="s">
        <v>112</v>
      </c>
      <c r="F36" s="402" t="s">
        <v>170</v>
      </c>
      <c r="H36" s="138"/>
    </row>
    <row r="37" spans="1:16" ht="22.5" customHeight="1" x14ac:dyDescent="0.2">
      <c r="A37" s="426">
        <v>1</v>
      </c>
      <c r="B37" s="451" t="s">
        <v>159</v>
      </c>
      <c r="C37" s="481">
        <v>184165.24</v>
      </c>
      <c r="D37" s="248">
        <f>(0.6%*184165.24)+184165.24</f>
        <v>185270.23144</v>
      </c>
      <c r="E37" s="246">
        <f>C42-D37</f>
        <v>-37924.231440000003</v>
      </c>
      <c r="F37" s="427">
        <f>C40-D37</f>
        <v>-29274.835439999995</v>
      </c>
      <c r="H37" s="262"/>
      <c r="P37" s="86"/>
    </row>
    <row r="38" spans="1:16" ht="30" x14ac:dyDescent="0.2">
      <c r="A38" s="417">
        <f>A37+1</f>
        <v>2</v>
      </c>
      <c r="B38" s="452" t="s">
        <v>142</v>
      </c>
      <c r="C38" s="407">
        <v>160191</v>
      </c>
      <c r="D38" s="249">
        <f>160191+(160191*0.6%)</f>
        <v>161152.14600000001</v>
      </c>
      <c r="E38" s="176">
        <f>C42-D38</f>
        <v>-13806.146000000008</v>
      </c>
      <c r="F38" s="272">
        <f>C40-D38</f>
        <v>-5156.75</v>
      </c>
      <c r="H38" s="262"/>
      <c r="P38" s="86"/>
    </row>
    <row r="39" spans="1:16" ht="30" x14ac:dyDescent="0.2">
      <c r="A39" s="417">
        <v>3</v>
      </c>
      <c r="B39" s="452" t="s">
        <v>134</v>
      </c>
      <c r="C39" s="465">
        <v>154352.71</v>
      </c>
      <c r="D39" s="249">
        <f>154352.71+(154352.71*1.7%)</f>
        <v>156976.70606999999</v>
      </c>
      <c r="E39" s="176">
        <f>C42-D39</f>
        <v>-9630.7060699999856</v>
      </c>
      <c r="F39" s="272">
        <f>C40-D39</f>
        <v>-981.31006999997771</v>
      </c>
      <c r="H39" s="262"/>
      <c r="P39" s="86"/>
    </row>
    <row r="40" spans="1:16" ht="30" x14ac:dyDescent="0.2">
      <c r="A40" s="417">
        <v>4</v>
      </c>
      <c r="B40" s="340" t="s">
        <v>181</v>
      </c>
      <c r="C40" s="464">
        <f>(151012*3.3%)+151012</f>
        <v>155995.39600000001</v>
      </c>
      <c r="D40" s="479">
        <f>'Raw Data'!L8</f>
        <v>155995.39600000001</v>
      </c>
      <c r="E40" s="373">
        <f>C40-D40</f>
        <v>0</v>
      </c>
      <c r="F40" s="428">
        <f>C40-D40</f>
        <v>0</v>
      </c>
      <c r="H40" s="262"/>
      <c r="P40" s="86"/>
    </row>
    <row r="41" spans="1:16" ht="30" x14ac:dyDescent="0.2">
      <c r="A41" s="417">
        <v>5</v>
      </c>
      <c r="B41" s="452" t="s">
        <v>136</v>
      </c>
      <c r="C41" s="407">
        <v>149099</v>
      </c>
      <c r="D41" s="478">
        <f>149099+(2.3%*149099)</f>
        <v>152528.277</v>
      </c>
      <c r="E41" s="176">
        <f>C42-D41</f>
        <v>-5182.2770000000019</v>
      </c>
      <c r="F41" s="272">
        <f>C40-D41</f>
        <v>3467.1190000000061</v>
      </c>
      <c r="H41" s="262"/>
      <c r="P41" s="86"/>
    </row>
    <row r="42" spans="1:16" ht="30" x14ac:dyDescent="0.2">
      <c r="A42" s="417">
        <v>5</v>
      </c>
      <c r="B42" s="348" t="s">
        <v>137</v>
      </c>
      <c r="C42" s="257">
        <v>147346</v>
      </c>
      <c r="D42" s="374">
        <v>147346</v>
      </c>
      <c r="E42" s="270">
        <f>C42-D42</f>
        <v>0</v>
      </c>
      <c r="F42" s="429">
        <f>C42-D42</f>
        <v>0</v>
      </c>
      <c r="H42" s="262"/>
      <c r="P42" s="86"/>
    </row>
    <row r="43" spans="1:16" ht="30" x14ac:dyDescent="0.2">
      <c r="A43" s="417">
        <v>6</v>
      </c>
      <c r="B43" s="452" t="s">
        <v>139</v>
      </c>
      <c r="C43" s="422">
        <v>154982</v>
      </c>
      <c r="D43" s="173">
        <f>154982-(154982*6.6%)</f>
        <v>144753.18799999999</v>
      </c>
      <c r="E43" s="180">
        <f>C42-D43</f>
        <v>2592.8120000000054</v>
      </c>
      <c r="F43" s="430">
        <f>C40-D43</f>
        <v>11242.208000000013</v>
      </c>
      <c r="H43" s="262"/>
      <c r="P43" s="86"/>
    </row>
    <row r="44" spans="1:16" x14ac:dyDescent="0.2">
      <c r="A44" s="417">
        <v>7</v>
      </c>
      <c r="B44" s="452" t="s">
        <v>157</v>
      </c>
      <c r="C44" s="407">
        <v>147880</v>
      </c>
      <c r="D44" s="249">
        <f>147880-(147880*9.9%)</f>
        <v>133239.88</v>
      </c>
      <c r="E44" s="180">
        <f>C42-D44</f>
        <v>14106.119999999995</v>
      </c>
      <c r="F44" s="430">
        <f>C40-D44</f>
        <v>22755.516000000003</v>
      </c>
      <c r="H44" s="262"/>
      <c r="P44" s="86"/>
    </row>
    <row r="45" spans="1:16" ht="30" x14ac:dyDescent="0.2">
      <c r="A45" s="417">
        <v>8</v>
      </c>
      <c r="B45" s="452" t="s">
        <v>141</v>
      </c>
      <c r="C45" s="182">
        <v>141835</v>
      </c>
      <c r="D45" s="249">
        <f>141835-(141835*7.2%)</f>
        <v>131622.88</v>
      </c>
      <c r="E45" s="180">
        <f>C42-D45</f>
        <v>15723.119999999995</v>
      </c>
      <c r="F45" s="430">
        <f>C40-D45</f>
        <v>24372.516000000003</v>
      </c>
      <c r="H45" s="262"/>
      <c r="P45" s="86"/>
    </row>
    <row r="46" spans="1:16" ht="30" x14ac:dyDescent="0.2">
      <c r="A46" s="417">
        <v>9</v>
      </c>
      <c r="B46" s="452" t="s">
        <v>151</v>
      </c>
      <c r="C46" s="465">
        <v>137884</v>
      </c>
      <c r="D46" s="249">
        <f>137884-(137884*18.1%)</f>
        <v>112926.996</v>
      </c>
      <c r="E46" s="180">
        <f>C42-D46</f>
        <v>34419.004000000001</v>
      </c>
      <c r="F46" s="430">
        <f>C40-D46</f>
        <v>43068.400000000009</v>
      </c>
      <c r="H46" s="262"/>
      <c r="P46" s="86"/>
    </row>
    <row r="47" spans="1:16" ht="30" x14ac:dyDescent="0.2">
      <c r="A47" s="417">
        <v>10</v>
      </c>
      <c r="B47" s="452" t="s">
        <v>154</v>
      </c>
      <c r="C47" s="465">
        <v>132264</v>
      </c>
      <c r="D47" s="137">
        <f>132264-(132264*24%)</f>
        <v>100520.64</v>
      </c>
      <c r="E47" s="180">
        <f>C42-D47</f>
        <v>46825.36</v>
      </c>
      <c r="F47" s="430">
        <f>C40-D47</f>
        <v>55474.756000000008</v>
      </c>
      <c r="H47" s="262"/>
      <c r="P47" s="86"/>
    </row>
    <row r="48" spans="1:16" x14ac:dyDescent="0.2">
      <c r="A48" s="417">
        <v>11</v>
      </c>
      <c r="B48" s="452" t="s">
        <v>153</v>
      </c>
      <c r="C48" s="465">
        <v>132423.79999999999</v>
      </c>
      <c r="D48" s="137">
        <f>132423.8-(132423.8*25.5%)</f>
        <v>98655.731</v>
      </c>
      <c r="E48" s="180">
        <f>C42-D48</f>
        <v>48690.269</v>
      </c>
      <c r="F48" s="430">
        <f>C40-D48</f>
        <v>57339.665000000008</v>
      </c>
      <c r="H48" s="262"/>
      <c r="P48" s="86"/>
    </row>
    <row r="49" spans="1:17" ht="30" x14ac:dyDescent="0.2">
      <c r="A49" s="417">
        <v>12</v>
      </c>
      <c r="B49" s="452" t="s">
        <v>132</v>
      </c>
      <c r="C49" s="407">
        <v>141663</v>
      </c>
      <c r="D49" s="137">
        <f>141663-(141663*31.4%)</f>
        <v>97180.817999999999</v>
      </c>
      <c r="E49" s="180">
        <f>C42-D49</f>
        <v>50165.182000000001</v>
      </c>
      <c r="F49" s="430">
        <f>C40-D49</f>
        <v>58814.578000000009</v>
      </c>
      <c r="H49" s="262"/>
      <c r="P49" s="86"/>
    </row>
    <row r="50" spans="1:17" ht="30" x14ac:dyDescent="0.2">
      <c r="A50" s="417">
        <v>13</v>
      </c>
      <c r="B50" s="452" t="s">
        <v>140</v>
      </c>
      <c r="C50" s="407">
        <v>144970</v>
      </c>
      <c r="D50" s="249">
        <f>144970-(33.4%*144970)</f>
        <v>96550.02</v>
      </c>
      <c r="E50" s="180">
        <f>C42-D50</f>
        <v>50795.979999999996</v>
      </c>
      <c r="F50" s="430">
        <f>C40-D50</f>
        <v>59445.376000000004</v>
      </c>
      <c r="H50" s="263"/>
      <c r="P50" s="86"/>
    </row>
    <row r="51" spans="1:17" ht="30" x14ac:dyDescent="0.2">
      <c r="A51" s="417">
        <v>14</v>
      </c>
      <c r="B51" s="452" t="s">
        <v>138</v>
      </c>
      <c r="C51" s="407">
        <f>135222+2332</f>
        <v>137554</v>
      </c>
      <c r="D51" s="173">
        <f>137554-(137554*33.5%)</f>
        <v>91473.41</v>
      </c>
      <c r="E51" s="180">
        <f>C42-D51</f>
        <v>55872.59</v>
      </c>
      <c r="F51" s="430">
        <f>C40-D51</f>
        <v>64521.986000000004</v>
      </c>
      <c r="H51" s="263"/>
      <c r="P51" s="86"/>
    </row>
    <row r="52" spans="1:17" ht="30" x14ac:dyDescent="0.2">
      <c r="A52" s="417">
        <v>15</v>
      </c>
      <c r="B52" s="452" t="s">
        <v>131</v>
      </c>
      <c r="C52" s="407">
        <v>140601</v>
      </c>
      <c r="D52" s="478">
        <f>140601-(37.7%*140601)</f>
        <v>87594.42300000001</v>
      </c>
      <c r="E52" s="180">
        <f>C42-D52</f>
        <v>59751.57699999999</v>
      </c>
      <c r="F52" s="430">
        <f>C40-D52</f>
        <v>68400.972999999998</v>
      </c>
      <c r="G52" s="81"/>
      <c r="H52" s="263"/>
      <c r="I52" s="96"/>
      <c r="Q52" s="86"/>
    </row>
    <row r="53" spans="1:17" x14ac:dyDescent="0.2">
      <c r="A53" s="417">
        <v>16</v>
      </c>
      <c r="B53" s="452" t="s">
        <v>152</v>
      </c>
      <c r="C53" s="465">
        <v>127485</v>
      </c>
      <c r="D53" s="249">
        <f>127485-(127485*31.9%)</f>
        <v>86817.285000000003</v>
      </c>
      <c r="E53" s="180">
        <f>C42-D53</f>
        <v>60528.714999999997</v>
      </c>
      <c r="F53" s="430">
        <f>C40-D53</f>
        <v>69178.111000000004</v>
      </c>
      <c r="H53" s="263"/>
      <c r="P53" s="86"/>
    </row>
    <row r="54" spans="1:17" ht="31.5" customHeight="1" thickBot="1" x14ac:dyDescent="0.25">
      <c r="A54" s="418">
        <v>17</v>
      </c>
      <c r="B54" s="452" t="s">
        <v>135</v>
      </c>
      <c r="C54" s="407">
        <v>139768.37</v>
      </c>
      <c r="D54" s="480">
        <f>139768.37-(139768.37*39.8%)</f>
        <v>84140.558740000008</v>
      </c>
      <c r="E54" s="432">
        <f>C42-D54</f>
        <v>63205.441259999992</v>
      </c>
      <c r="F54" s="337">
        <f>C40-D54</f>
        <v>71854.83726</v>
      </c>
      <c r="H54" s="263"/>
      <c r="P54" s="86"/>
    </row>
    <row r="55" spans="1:17" ht="15.75" thickBot="1" x14ac:dyDescent="0.25">
      <c r="B55" s="121" t="s">
        <v>103</v>
      </c>
      <c r="D55" s="139"/>
    </row>
    <row r="56" spans="1:17" ht="15.75" thickBot="1" x14ac:dyDescent="0.25">
      <c r="D56" s="132" t="s">
        <v>102</v>
      </c>
      <c r="E56" s="122" t="s">
        <v>16</v>
      </c>
    </row>
    <row r="57" spans="1:17" ht="171" customHeight="1" thickBot="1" x14ac:dyDescent="0.25">
      <c r="D57" s="179" t="s">
        <v>164</v>
      </c>
      <c r="E57" s="179" t="s">
        <v>165</v>
      </c>
    </row>
  </sheetData>
  <sortState xmlns:xlrd2="http://schemas.microsoft.com/office/spreadsheetml/2017/richdata2" ref="B37:D54">
    <sortCondition descending="1" ref="D36:D54"/>
  </sortState>
  <customSheetViews>
    <customSheetView guid="{2553490D-CEB8-4CB7-8490-7C9CCD5DDA4B}">
      <selection activeCell="B7" sqref="B7"/>
      <pageMargins left="0.7" right="0.7" top="0.75" bottom="0.75" header="0.3" footer="0.3"/>
    </customSheetView>
  </customSheetViews>
  <hyperlinks>
    <hyperlink ref="D50" r:id="rId1" display="https://www.salary.com/research/cost-of-living/compare/salinas-ca/fresno-ca" xr:uid="{2E62802A-FAA5-4AF1-B06E-34BA5E11AC8D}"/>
    <hyperlink ref="D43" r:id="rId2" display="https://www.salary.com/research/cost-of-living/compare/merced-ca/fresno-ca" xr:uid="{34C3E46F-7CF6-4EC1-B7EB-99572907FA93}"/>
    <hyperlink ref="D52" r:id="rId3" display="https://www.salary.com/research/cost-of-living/compare/aptos-ca/fresno-ca" xr:uid="{A09CDFFD-7220-436B-AAA9-6773DA5CE270}"/>
    <hyperlink ref="D37" r:id="rId4" display="https://www.salary.com/research/cost-of-living/compare/visalia-ca/fresno-ca" xr:uid="{DB278AD7-6BCB-49AB-BCFE-1DE356D7C92F}"/>
    <hyperlink ref="D39" r:id="rId5" display="https://www.salary.com/research/cost-of-living/compare/bakersfield-ca/fresno-ca" xr:uid="{87319CE8-B6AE-4C36-B7F9-F7F96B278478}"/>
    <hyperlink ref="D38" r:id="rId6" display="https://www.salary.com/research/cost-of-living/compare/coalinga-ca/fresno-ca" xr:uid="{52AD7ECB-6F16-4033-B63B-F02BBC2EC5BF}"/>
    <hyperlink ref="D51" r:id="rId7" display="https://www.salary.com/research/cost-of-living/compare/monterey-ca/fresno-ca" xr:uid="{DF990A09-F3B5-4244-AF63-852019826EDB}"/>
    <hyperlink ref="D41" r:id="rId8" display="https://www.salary.com/research/cost-of-living/compare/taft-ca/fresno-ca" xr:uid="{BF8BC370-25F3-472E-B26E-2CEA7F2517D5}"/>
    <hyperlink ref="D49" r:id="rId9" display="https://www.salary.com/research/cost-of-living/compare/san-luis-obispo-ca/fresno-ca" xr:uid="{DBB4E607-9680-42E7-B0C8-F47C022EE636}"/>
    <hyperlink ref="D45" r:id="rId10" display="https://www.salary.com/research/cost-of-living/compare/modesto-ca/fresno-ca" xr:uid="{D983B5FE-F806-41E3-8F12-92818830CF20}"/>
    <hyperlink ref="D46" r:id="rId11" display="https://www.salary.com/research/cost-of-living/compare/sacramento-ca/fresno-ca" xr:uid="{1F694FFE-8ADB-4615-93FA-B1D303C407BE}"/>
    <hyperlink ref="D53" r:id="rId12" display="https://www.salary.com/research/cost-of-living/compare/santa-maria-ca/fresno-ca" xr:uid="{FEC579AA-60DA-4351-9FC8-E77EE8E8E34C}"/>
    <hyperlink ref="D47" r:id="rId13" display="https://www.salary.com/research/cost-of-living/compare/martinez-ca/fresno-ca" xr:uid="{F161F8BF-5C32-4DB3-9942-AE70C15EF90A}"/>
    <hyperlink ref="D44" r:id="rId14" display="https://www.salary.com/research/cost-of-living/compare/stockton-ca/fresno-ca" xr:uid="{3FDDFD69-0B73-4E6C-B5DF-62FAA8D304FC}"/>
    <hyperlink ref="D48" r:id="rId15" display="https://www.salary.com/research/cost-of-living/compare/camarillo-ca/fresno-ca" xr:uid="{7F1302D8-AE5A-43BB-BBDA-8E55DE3585DB}"/>
    <hyperlink ref="D54" r:id="rId16" display="https://www.salary.com/research/cost-of-living/compare/gilroy-ca/fresno-ca" xr:uid="{C7ADB502-552A-40A3-9C84-F71C548C6147}"/>
    <hyperlink ref="B52" r:id="rId17" display="Cabrillo Community College District (2019-2022)" xr:uid="{BB999017-A44B-4CB6-8C92-FBB3917DF1DD}"/>
    <hyperlink ref="B37" r:id="rId18" display="College of the Sequoias (2021-2024)" xr:uid="{E262643A-BD4B-4C13-80A1-70E8A4DDC377}"/>
    <hyperlink ref="B54" r:id="rId19" display="Gavilan Community College District (2018-2021)" xr:uid="{3C121CC8-405F-4E71-9111-54197C6036F0}"/>
    <hyperlink ref="B50" r:id="rId20" display="Hartnell Community College District (2019-2022)" xr:uid="{49C08C6E-4340-4844-9681-8EBBE4EE2F21}"/>
    <hyperlink ref="B39" r:id="rId21" display="Kern Community College District (2020-2023)" xr:uid="{7C3302E5-04AA-4EC2-8635-F3B54FC4EE28}"/>
    <hyperlink ref="B43" r:id="rId22" display="Merced Community College District (2018-2021)" xr:uid="{AFF6C7D9-1B86-41E0-86AF-96BF7356B3F1}"/>
    <hyperlink ref="B51" r:id="rId23" display="Monterey - Peninsula Community College District (2019-2022)" xr:uid="{A9D63851-A7C6-4C63-9F5D-8E18755F3C08}"/>
    <hyperlink ref="B49" r:id="rId24" display="San Luis Obispo County Community College District (2021-2023)" xr:uid="{EA1991BB-6F1F-4140-8E70-FA77D2F554D9}"/>
    <hyperlink ref="B42" r:id="rId25" display="State Center Community College District (2018-2021) " xr:uid="{8A362B8E-B95C-46B7-B416-B2D94B54BBBE}"/>
    <hyperlink ref="B41" r:id="rId26" display="West Kern Community College District (Taft College) (2020-2023)" xr:uid="{0DCA3B2D-FCF4-449F-9038-AFF98E7FD385}"/>
    <hyperlink ref="B38" r:id="rId27" display="West Hills Community College District (2019-2022) " xr:uid="{D1512744-463B-40DA-8790-365700A81B00}"/>
    <hyperlink ref="B45" r:id="rId28" display="Yosemite Community College District (2020-2023) " xr:uid="{72F6ABC0-B31E-4155-977D-736A24B03287}"/>
    <hyperlink ref="B53" r:id="rId29" display="Allan Hancock CCD (2021-2024)" xr:uid="{E1ACFF2A-F6CE-4690-A729-CBEA042BEBCF}"/>
    <hyperlink ref="B48" r:id="rId30" display="Ventura" xr:uid="{CF24229B-3402-4DAC-B31F-19B5A3E725A2}"/>
    <hyperlink ref="B46" r:id="rId31" display="Los Rios" xr:uid="{50909FB6-07E4-40BA-AC8B-9EF2316FCC26}"/>
    <hyperlink ref="B47" r:id="rId32" display="Contra Costa Community College District (2019-2022)" xr:uid="{24F0E8BC-86C2-46AC-AC53-F2352FA92EDC}"/>
    <hyperlink ref="B44" r:id="rId33" display="San Joaquin Delta (2024-2027)" xr:uid="{3AE2A160-8C03-4FEF-97BD-E37CA46D30C9}"/>
    <hyperlink ref="B40" r:id="rId34" display="State Center Community College District (2018-2021) " xr:uid="{2328CF68-6CC4-4518-ADA1-F6AF17581282}"/>
  </hyperlinks>
  <pageMargins left="0.25" right="0.25" top="0.75" bottom="0.75" header="0.3" footer="0.3"/>
  <pageSetup scale="41" orientation="landscape" r:id="rId35"/>
  <drawing r:id="rId36"/>
  <legacyDrawing r:id="rId37"/>
  <tableParts count="1">
    <tablePart r:id="rId38"/>
  </tableParts>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36:I58"/>
  <sheetViews>
    <sheetView topLeftCell="A25" zoomScale="70" zoomScaleNormal="70" workbookViewId="0">
      <selection activeCell="H38" sqref="H38"/>
    </sheetView>
  </sheetViews>
  <sheetFormatPr defaultColWidth="9.140625" defaultRowHeight="15" x14ac:dyDescent="0.2"/>
  <cols>
    <col min="1" max="1" width="4.7109375" style="78" customWidth="1"/>
    <col min="2" max="2" width="48" style="78" customWidth="1"/>
    <col min="3" max="3" width="39" style="78" customWidth="1"/>
    <col min="4" max="4" width="42.5703125" style="78" customWidth="1"/>
    <col min="5" max="5" width="46.85546875" style="78" customWidth="1"/>
    <col min="6" max="6" width="47.85546875" style="78" customWidth="1"/>
    <col min="7" max="7" width="46.140625" style="78" customWidth="1"/>
    <col min="8" max="8" width="27.140625" style="78" customWidth="1"/>
    <col min="9" max="9" width="28.42578125" style="78" customWidth="1"/>
    <col min="10" max="16384" width="9.140625" style="78"/>
  </cols>
  <sheetData>
    <row r="36" spans="1:9" ht="15.75" thickBot="1" x14ac:dyDescent="0.25"/>
    <row r="37" spans="1:9" ht="36" thickBot="1" x14ac:dyDescent="0.25">
      <c r="A37" s="140" t="s">
        <v>106</v>
      </c>
      <c r="B37" s="312" t="s">
        <v>29</v>
      </c>
      <c r="C37" s="79" t="s">
        <v>97</v>
      </c>
      <c r="D37" s="311" t="s">
        <v>163</v>
      </c>
      <c r="E37" s="311" t="s">
        <v>187</v>
      </c>
      <c r="F37" s="304" t="s">
        <v>17</v>
      </c>
      <c r="G37" s="308" t="s">
        <v>185</v>
      </c>
      <c r="H37" s="309" t="s">
        <v>112</v>
      </c>
      <c r="I37" s="310" t="s">
        <v>186</v>
      </c>
    </row>
    <row r="38" spans="1:9" ht="30" x14ac:dyDescent="0.2">
      <c r="A38" s="155">
        <v>1</v>
      </c>
      <c r="B38" s="451" t="s">
        <v>135</v>
      </c>
      <c r="C38" s="459">
        <v>139768.37</v>
      </c>
      <c r="D38" s="141">
        <v>147346</v>
      </c>
      <c r="E38" s="141">
        <v>155995.39600000001</v>
      </c>
      <c r="F38" s="161">
        <f>147346+(147346*66.1%)</f>
        <v>244741.70600000001</v>
      </c>
      <c r="G38" s="161">
        <f>155955.4+(155955.4*66.1%)</f>
        <v>259041.91939999998</v>
      </c>
      <c r="H38" s="246">
        <f t="shared" ref="H38:H50" si="0">C38-F38</f>
        <v>-104973.33600000001</v>
      </c>
      <c r="I38" s="427">
        <f t="shared" ref="I38:I49" si="1">C38-G38</f>
        <v>-119273.54939999999</v>
      </c>
    </row>
    <row r="39" spans="1:9" ht="30" x14ac:dyDescent="0.2">
      <c r="A39" s="174">
        <v>2</v>
      </c>
      <c r="B39" s="452" t="s">
        <v>131</v>
      </c>
      <c r="C39" s="403">
        <v>140601</v>
      </c>
      <c r="D39" s="141">
        <v>147346</v>
      </c>
      <c r="E39" s="141">
        <v>155995.39600000001</v>
      </c>
      <c r="F39" s="175">
        <f>147346+(147346*60.4%)</f>
        <v>236342.984</v>
      </c>
      <c r="G39" s="175">
        <f>155995.4+(155995.4*60.4%)</f>
        <v>250216.62159999998</v>
      </c>
      <c r="H39" s="176">
        <f t="shared" si="0"/>
        <v>-95741.983999999997</v>
      </c>
      <c r="I39" s="272">
        <f t="shared" si="1"/>
        <v>-109615.62159999998</v>
      </c>
    </row>
    <row r="40" spans="1:9" ht="30" x14ac:dyDescent="0.2">
      <c r="A40" s="174">
        <v>3</v>
      </c>
      <c r="B40" s="452" t="s">
        <v>138</v>
      </c>
      <c r="C40" s="403">
        <f>135222+2332</f>
        <v>137554</v>
      </c>
      <c r="D40" s="141">
        <v>147346</v>
      </c>
      <c r="E40" s="141">
        <v>155995.39600000001</v>
      </c>
      <c r="F40" s="197">
        <f>147346+(147346*50.5%)</f>
        <v>221755.72999999998</v>
      </c>
      <c r="G40" s="197">
        <f>155995.4+(155995.4*50.5%)</f>
        <v>234773.07699999999</v>
      </c>
      <c r="H40" s="176">
        <f t="shared" si="0"/>
        <v>-84201.729999999981</v>
      </c>
      <c r="I40" s="272">
        <f t="shared" si="1"/>
        <v>-97219.07699999999</v>
      </c>
    </row>
    <row r="41" spans="1:9" ht="30" x14ac:dyDescent="0.2">
      <c r="A41" s="174">
        <v>4</v>
      </c>
      <c r="B41" s="452" t="s">
        <v>140</v>
      </c>
      <c r="C41" s="403">
        <v>144970</v>
      </c>
      <c r="D41" s="141">
        <v>147346</v>
      </c>
      <c r="E41" s="141">
        <v>155995.39600000001</v>
      </c>
      <c r="F41" s="175">
        <f>147346+(147346*50.2%)</f>
        <v>221313.69199999998</v>
      </c>
      <c r="G41" s="175">
        <f>155995.4+(155995.4*50.2%)</f>
        <v>234305.09080000001</v>
      </c>
      <c r="H41" s="176">
        <f t="shared" si="0"/>
        <v>-76343.691999999981</v>
      </c>
      <c r="I41" s="272">
        <f t="shared" si="1"/>
        <v>-89335.090800000005</v>
      </c>
    </row>
    <row r="42" spans="1:9" x14ac:dyDescent="0.2">
      <c r="A42" s="174">
        <v>5</v>
      </c>
      <c r="B42" s="452" t="s">
        <v>152</v>
      </c>
      <c r="C42" s="413">
        <v>127485</v>
      </c>
      <c r="D42" s="141">
        <v>147346</v>
      </c>
      <c r="E42" s="141">
        <v>155995.39600000001</v>
      </c>
      <c r="F42" s="161">
        <f>147346+(147346*46.9%)</f>
        <v>216451.27399999998</v>
      </c>
      <c r="G42" s="161">
        <f>155995.4+(155995.4*46.9%)</f>
        <v>229157.2426</v>
      </c>
      <c r="H42" s="176">
        <f t="shared" si="0"/>
        <v>-88966.273999999976</v>
      </c>
      <c r="I42" s="272">
        <f t="shared" si="1"/>
        <v>-101672.2426</v>
      </c>
    </row>
    <row r="43" spans="1:9" ht="30" x14ac:dyDescent="0.2">
      <c r="A43" s="174">
        <v>6</v>
      </c>
      <c r="B43" s="452" t="s">
        <v>132</v>
      </c>
      <c r="C43" s="403">
        <v>141663</v>
      </c>
      <c r="D43" s="141">
        <v>147346</v>
      </c>
      <c r="E43" s="141">
        <v>155995.39600000001</v>
      </c>
      <c r="F43" s="175">
        <f>147346+(147346*45.8%)</f>
        <v>214830.46799999999</v>
      </c>
      <c r="G43" s="175">
        <f>155995.4+(155995.4*45.8%)</f>
        <v>227441.29319999999</v>
      </c>
      <c r="H43" s="176">
        <f t="shared" si="0"/>
        <v>-73167.467999999993</v>
      </c>
      <c r="I43" s="272">
        <f t="shared" si="1"/>
        <v>-85778.293199999986</v>
      </c>
    </row>
    <row r="44" spans="1:9" ht="30.75" customHeight="1" x14ac:dyDescent="0.2">
      <c r="A44" s="156">
        <v>7</v>
      </c>
      <c r="B44" s="452" t="s">
        <v>153</v>
      </c>
      <c r="C44" s="413">
        <v>132423.79999999999</v>
      </c>
      <c r="D44" s="141">
        <v>147346</v>
      </c>
      <c r="E44" s="141">
        <v>155995.39600000001</v>
      </c>
      <c r="F44" s="161">
        <f>147346+(147346*34.3%)</f>
        <v>197885.67799999999</v>
      </c>
      <c r="G44" s="161">
        <f>155995.4+(155995.4*34.3%)</f>
        <v>209501.8222</v>
      </c>
      <c r="H44" s="176">
        <f t="shared" si="0"/>
        <v>-65461.877999999997</v>
      </c>
      <c r="I44" s="272">
        <f t="shared" si="1"/>
        <v>-77078.022200000007</v>
      </c>
    </row>
    <row r="45" spans="1:9" ht="30" x14ac:dyDescent="0.2">
      <c r="A45" s="156">
        <v>8</v>
      </c>
      <c r="B45" s="452" t="s">
        <v>154</v>
      </c>
      <c r="C45" s="413">
        <v>132264</v>
      </c>
      <c r="D45" s="141">
        <v>147346</v>
      </c>
      <c r="E45" s="141">
        <v>155995.39600000001</v>
      </c>
      <c r="F45" s="302">
        <f>147346+(147346*31.6%)</f>
        <v>193907.33600000001</v>
      </c>
      <c r="G45" s="302">
        <f>155995.4+(155995.4*31.6%)</f>
        <v>205289.94639999999</v>
      </c>
      <c r="H45" s="435">
        <f t="shared" si="0"/>
        <v>-61643.33600000001</v>
      </c>
      <c r="I45" s="272">
        <f t="shared" si="1"/>
        <v>-73025.946399999986</v>
      </c>
    </row>
    <row r="46" spans="1:9" ht="30" x14ac:dyDescent="0.2">
      <c r="A46" s="156">
        <v>9</v>
      </c>
      <c r="B46" s="452" t="s">
        <v>151</v>
      </c>
      <c r="C46" s="413">
        <v>137884</v>
      </c>
      <c r="D46" s="141">
        <v>147346</v>
      </c>
      <c r="E46" s="141">
        <v>155995.39600000001</v>
      </c>
      <c r="F46" s="161">
        <f>147346+(147346*22.1%)</f>
        <v>179909.46600000001</v>
      </c>
      <c r="G46" s="161">
        <f>155995.4+(155995.4*22.1%)</f>
        <v>190470.38339999999</v>
      </c>
      <c r="H46" s="176">
        <f t="shared" si="0"/>
        <v>-42025.466000000015</v>
      </c>
      <c r="I46" s="272">
        <f t="shared" si="1"/>
        <v>-52586.383399999992</v>
      </c>
    </row>
    <row r="47" spans="1:9" x14ac:dyDescent="0.2">
      <c r="A47" s="156">
        <v>10</v>
      </c>
      <c r="B47" s="452" t="s">
        <v>157</v>
      </c>
      <c r="C47" s="403">
        <v>147880</v>
      </c>
      <c r="D47" s="141">
        <v>147346</v>
      </c>
      <c r="E47" s="141">
        <v>155995.39600000001</v>
      </c>
      <c r="F47" s="175">
        <f>147346+(147346*11%)</f>
        <v>163554.06</v>
      </c>
      <c r="G47" s="175">
        <f>155995.4+(155995.4*11%)</f>
        <v>173154.894</v>
      </c>
      <c r="H47" s="176">
        <f t="shared" si="0"/>
        <v>-15674.059999999998</v>
      </c>
      <c r="I47" s="272">
        <f t="shared" si="1"/>
        <v>-25274.894</v>
      </c>
    </row>
    <row r="48" spans="1:9" ht="30" x14ac:dyDescent="0.2">
      <c r="A48" s="156">
        <v>11</v>
      </c>
      <c r="B48" s="452" t="s">
        <v>141</v>
      </c>
      <c r="C48" s="462">
        <v>141835</v>
      </c>
      <c r="D48" s="141">
        <v>147346</v>
      </c>
      <c r="E48" s="141">
        <v>155995.39600000001</v>
      </c>
      <c r="F48" s="175">
        <f>147346+(147346*7.7%)</f>
        <v>158691.64199999999</v>
      </c>
      <c r="G48" s="175">
        <f>155995.4+(155995.4*7.7%)</f>
        <v>168007.04579999999</v>
      </c>
      <c r="H48" s="162">
        <f t="shared" si="0"/>
        <v>-16856.641999999993</v>
      </c>
      <c r="I48" s="272">
        <f t="shared" si="1"/>
        <v>-26172.045799999993</v>
      </c>
    </row>
    <row r="49" spans="1:9" ht="30" x14ac:dyDescent="0.2">
      <c r="A49" s="156">
        <v>12</v>
      </c>
      <c r="B49" s="452" t="s">
        <v>139</v>
      </c>
      <c r="C49" s="460">
        <v>154982</v>
      </c>
      <c r="D49" s="141">
        <v>147346</v>
      </c>
      <c r="E49" s="141">
        <v>155995.39600000001</v>
      </c>
      <c r="F49" s="178">
        <f>147346+(147346*7.1%)</f>
        <v>157807.56599999999</v>
      </c>
      <c r="G49" s="178">
        <f>155995.4+(155995.4*7.1%)</f>
        <v>167071.07339999999</v>
      </c>
      <c r="H49" s="162">
        <f t="shared" si="0"/>
        <v>-2825.5659999999916</v>
      </c>
      <c r="I49" s="272">
        <f t="shared" si="1"/>
        <v>-12089.073399999994</v>
      </c>
    </row>
    <row r="50" spans="1:9" ht="30" x14ac:dyDescent="0.2">
      <c r="A50" s="307">
        <v>13</v>
      </c>
      <c r="B50" s="348" t="s">
        <v>137</v>
      </c>
      <c r="C50" s="352">
        <v>147346</v>
      </c>
      <c r="D50" s="397">
        <v>147346</v>
      </c>
      <c r="E50" s="397">
        <v>155995.39600000001</v>
      </c>
      <c r="F50" s="396">
        <v>147346</v>
      </c>
      <c r="G50" s="396">
        <v>155995.4</v>
      </c>
      <c r="H50" s="398">
        <f t="shared" si="0"/>
        <v>0</v>
      </c>
      <c r="I50" s="399">
        <v>0</v>
      </c>
    </row>
    <row r="51" spans="1:9" ht="30" x14ac:dyDescent="0.2">
      <c r="A51" s="307">
        <v>13</v>
      </c>
      <c r="B51" s="340" t="s">
        <v>181</v>
      </c>
      <c r="C51" s="344">
        <f>(151012*3.3%)+151012</f>
        <v>155995.39600000001</v>
      </c>
      <c r="D51" s="306">
        <v>147346</v>
      </c>
      <c r="E51" s="306">
        <v>155995.39600000001</v>
      </c>
      <c r="F51" s="393">
        <v>147346</v>
      </c>
      <c r="G51" s="393">
        <v>155955.4</v>
      </c>
      <c r="H51" s="394">
        <v>0</v>
      </c>
      <c r="I51" s="395">
        <v>0</v>
      </c>
    </row>
    <row r="52" spans="1:9" ht="30.75" customHeight="1" x14ac:dyDescent="0.2">
      <c r="A52" s="156">
        <v>14</v>
      </c>
      <c r="B52" s="452" t="s">
        <v>159</v>
      </c>
      <c r="C52" s="403">
        <v>184165.24</v>
      </c>
      <c r="D52" s="141">
        <v>147346</v>
      </c>
      <c r="E52" s="141">
        <v>155995.39600000001</v>
      </c>
      <c r="F52" s="175">
        <f>147346-(147346*0.6%)</f>
        <v>146461.924</v>
      </c>
      <c r="G52" s="175">
        <f>155995.4+(155995.4*0.6%)</f>
        <v>156931.37239999999</v>
      </c>
      <c r="H52" s="162">
        <f>C52-F52</f>
        <v>37703.315999999992</v>
      </c>
      <c r="I52" s="303">
        <f>C52-G52</f>
        <v>27233.867599999998</v>
      </c>
    </row>
    <row r="53" spans="1:9" ht="30" x14ac:dyDescent="0.2">
      <c r="A53" s="156">
        <v>15</v>
      </c>
      <c r="B53" s="452" t="s">
        <v>142</v>
      </c>
      <c r="C53" s="403">
        <v>160191</v>
      </c>
      <c r="D53" s="141">
        <v>147346</v>
      </c>
      <c r="E53" s="141">
        <v>155995.39600000001</v>
      </c>
      <c r="F53" s="265">
        <f>147346-(147346*0.6%)</f>
        <v>146461.924</v>
      </c>
      <c r="G53" s="265">
        <f>155995.4+(155995.4*0.6%)</f>
        <v>156931.37239999999</v>
      </c>
      <c r="H53" s="162">
        <f>C53-F53</f>
        <v>13729.076000000001</v>
      </c>
      <c r="I53" s="303">
        <f>C53-G53</f>
        <v>3259.6276000000071</v>
      </c>
    </row>
    <row r="54" spans="1:9" ht="33.75" customHeight="1" x14ac:dyDescent="0.2">
      <c r="A54" s="156">
        <v>16</v>
      </c>
      <c r="B54" s="452" t="s">
        <v>134</v>
      </c>
      <c r="C54" s="413">
        <v>154352.71</v>
      </c>
      <c r="D54" s="141">
        <v>147346</v>
      </c>
      <c r="E54" s="141">
        <v>155995.39600000001</v>
      </c>
      <c r="F54" s="265">
        <f>147346-(147346*1.6%)</f>
        <v>144988.46400000001</v>
      </c>
      <c r="G54" s="265">
        <f>155995.4+(155995.4*1.6%)</f>
        <v>158491.32639999999</v>
      </c>
      <c r="H54" s="162">
        <f>C54-F54</f>
        <v>9364.2459999999846</v>
      </c>
      <c r="I54" s="272">
        <f>C54-G54</f>
        <v>-4138.616399999999</v>
      </c>
    </row>
    <row r="55" spans="1:9" ht="37.5" customHeight="1" thickBot="1" x14ac:dyDescent="0.25">
      <c r="A55" s="157">
        <v>17</v>
      </c>
      <c r="B55" s="482" t="s">
        <v>136</v>
      </c>
      <c r="C55" s="483">
        <v>149099</v>
      </c>
      <c r="D55" s="228">
        <v>147346</v>
      </c>
      <c r="E55" s="228">
        <v>155995.39600000001</v>
      </c>
      <c r="F55" s="247">
        <f>147346-(147346*2.2%)</f>
        <v>144104.38800000001</v>
      </c>
      <c r="G55" s="247">
        <f>155955.4+(155955.4*2.2%)</f>
        <v>159386.41879999998</v>
      </c>
      <c r="H55" s="264">
        <f>C55-F55</f>
        <v>4994.6119999999937</v>
      </c>
      <c r="I55" s="436">
        <f>C55-G55</f>
        <v>-10287.418799999985</v>
      </c>
    </row>
    <row r="56" spans="1:9" ht="15.75" thickBot="1" x14ac:dyDescent="0.25">
      <c r="B56" s="121" t="s">
        <v>111</v>
      </c>
    </row>
    <row r="57" spans="1:9" ht="15.75" thickBot="1" x14ac:dyDescent="0.25">
      <c r="E57" s="181" t="s">
        <v>16</v>
      </c>
      <c r="F57" s="122" t="s">
        <v>16</v>
      </c>
    </row>
    <row r="58" spans="1:9" ht="171" customHeight="1" thickBot="1" x14ac:dyDescent="0.25">
      <c r="E58" s="179" t="s">
        <v>166</v>
      </c>
      <c r="F58" s="177" t="s">
        <v>180</v>
      </c>
    </row>
  </sheetData>
  <sortState xmlns:xlrd2="http://schemas.microsoft.com/office/spreadsheetml/2017/richdata2" ref="B38:F55">
    <sortCondition descending="1" ref="F37:F55"/>
  </sortState>
  <phoneticPr fontId="33" type="noConversion"/>
  <hyperlinks>
    <hyperlink ref="F52" r:id="rId1" display="https://www.salary.com/research/cost-of-living/compare/fresno-ca/visalia-ca" xr:uid="{D25C71DA-B5CC-41D6-BB5D-FA03C0832B7E}"/>
    <hyperlink ref="F41" r:id="rId2" display="https://www.salary.com/research/cost-of-living/compare/fresno-ca/salinas-ca" xr:uid="{AC514DDB-788D-4B7B-9241-3B74031552F7}"/>
    <hyperlink ref="F39" r:id="rId3" display="https://www.salary.com/research/cost-of-living/compare/fresno-ca/aptos-ca" xr:uid="{05385BFC-79C8-48C4-9BB3-551E24ABFFF9}"/>
    <hyperlink ref="F49" r:id="rId4" display="https://www.salary.com/research/cost-of-living/compare/fresno-ca/merced-ca" xr:uid="{63F6CEE5-49F9-4EDF-9004-1226C844D1BA}"/>
    <hyperlink ref="F54" r:id="rId5" display="https://www.salary.com/research/cost-of-living/compare/fresno-ca/bakersfield-ca" xr:uid="{503B02FF-DE12-4B04-AB90-9234A2A0C60C}"/>
    <hyperlink ref="F53" r:id="rId6" display="https://www.salary.com/research/cost-of-living/compare/fresno-ca/coalinga-ca" xr:uid="{499A06F3-7814-434E-AE38-C325B637A3AF}"/>
    <hyperlink ref="F40" r:id="rId7" display="https://www.salary.com/research/cost-of-living/compare/fresno-ca/monterey-ca" xr:uid="{6F283C74-59C8-4A8A-A6F7-EB713FB9DC28}"/>
    <hyperlink ref="F38" r:id="rId8" display="https://www.salary.com/research/cost-of-living/compare/fresno-ca/gilroy-ca" xr:uid="{4192A285-B9A8-4219-A603-164030E3697A}"/>
    <hyperlink ref="F55" r:id="rId9" display="https://www.salary.com/research/cost-of-living/compare/fresno-ca/taft-ca" xr:uid="{4B348618-C3E9-4FAF-9F7B-D62213137397}"/>
    <hyperlink ref="F43" r:id="rId10" display="https://www.salary.com/research/cost-of-living/compare/fresno-ca/san-luis-obispo-ca" xr:uid="{31A80008-9CD8-4FC0-AC3C-B6E83AEA5F58}"/>
    <hyperlink ref="F48" r:id="rId11" display="https://www.salary.com/research/cost-of-living/compare/fresno-ca/modesto-ca" xr:uid="{1004B150-DD0F-4FD8-8CE3-C0C2BA8D9AFB}"/>
    <hyperlink ref="F46" r:id="rId12" display="https://www.salary.com/research/cost-of-living/compare/fresno-ca/sacramento-ca" xr:uid="{ACEFAFA1-E809-4CC5-993B-C50692EC9201}"/>
    <hyperlink ref="F42" r:id="rId13" display="https://www.salary.com/research/cost-of-living/compare/fresno-ca/santa-maria-ca" xr:uid="{896A9B3D-5158-4318-9607-5C0EAC7E261E}"/>
    <hyperlink ref="F47" r:id="rId14" display="https://www.salary.com/research/cost-of-living/compare/fresno-ca/stockton-ca" xr:uid="{FF2AA0B5-ED00-4385-BE6D-F54C599FFECF}"/>
    <hyperlink ref="F44" r:id="rId15" display="https://www.salary.com/research/cost-of-living/compare/fresno-ca/camarillo-ca" xr:uid="{87726D59-1DBF-435E-8D94-D6424C6C0868}"/>
    <hyperlink ref="F45" r:id="rId16" display="https://www.salary.com/research/cost-of-living/compare/fresno-ca/martinez-ca" xr:uid="{B968B9C8-30F6-4BE5-9659-62A4536CE9C7}"/>
    <hyperlink ref="G52" r:id="rId17" display="https://www.salary.com/research/cost-of-living/compare/fresno-ca/visalia-ca" xr:uid="{DA469513-0880-4602-95D5-70524A564B99}"/>
    <hyperlink ref="G41" r:id="rId18" display="https://www.salary.com/research/cost-of-living/compare/fresno-ca/salinas-ca" xr:uid="{B04A86B1-4AAF-414B-9508-194ADF294AE1}"/>
    <hyperlink ref="G39" r:id="rId19" display="https://www.salary.com/research/cost-of-living/compare/fresno-ca/aptos-ca" xr:uid="{E44E2CF6-521E-4C81-B505-B560F8C046B6}"/>
    <hyperlink ref="G49" r:id="rId20" display="https://www.salary.com/research/cost-of-living/compare/fresno-ca/merced-ca" xr:uid="{2C99B284-5E01-4511-8F22-D5F9CB4C602D}"/>
    <hyperlink ref="G54" r:id="rId21" display="https://www.salary.com/research/cost-of-living/compare/fresno-ca/bakersfield-ca" xr:uid="{AD9278D9-D8DE-4688-840C-3C1945AFDF1C}"/>
    <hyperlink ref="G53" r:id="rId22" display="https://www.salary.com/research/cost-of-living/compare/fresno-ca/coalinga-ca" xr:uid="{95C94545-8BF5-42C1-9C49-8FBD7E4A0EC5}"/>
    <hyperlink ref="G40" r:id="rId23" display="https://www.salary.com/research/cost-of-living/compare/fresno-ca/monterey-ca" xr:uid="{0F9C1339-E67E-4B38-A2AD-835B42BB63AB}"/>
    <hyperlink ref="G38" r:id="rId24" display="https://www.salary.com/research/cost-of-living/compare/fresno-ca/gilroy-ca" xr:uid="{5ED778AD-439E-40E2-9896-9727BE2A4812}"/>
    <hyperlink ref="G55" r:id="rId25" display="https://www.salary.com/research/cost-of-living/compare/fresno-ca/taft-ca" xr:uid="{075B8FA9-44A8-4CD0-85B5-FAF7A98F7157}"/>
    <hyperlink ref="G43" r:id="rId26" display="https://www.salary.com/research/cost-of-living/compare/fresno-ca/san-luis-obispo-ca" xr:uid="{482EF8BD-545B-42FC-86E0-7161639BE3F1}"/>
    <hyperlink ref="G48" r:id="rId27" display="https://www.salary.com/research/cost-of-living/compare/fresno-ca/modesto-ca" xr:uid="{12AFA255-0569-454E-8611-FED7A37AA777}"/>
    <hyperlink ref="G46" r:id="rId28" display="https://www.salary.com/research/cost-of-living/compare/fresno-ca/sacramento-ca" xr:uid="{C519DC65-2081-4977-8E7B-54A3AFD3FF38}"/>
    <hyperlink ref="G42" r:id="rId29" display="https://www.salary.com/research/cost-of-living/compare/fresno-ca/santa-maria-ca" xr:uid="{04B96853-3D5D-4A0E-A906-325C3C1D261B}"/>
    <hyperlink ref="G47" r:id="rId30" display="https://www.salary.com/research/cost-of-living/compare/fresno-ca/stockton-ca" xr:uid="{C24F5CF9-77D1-499E-A95B-42FBEC4264FA}"/>
    <hyperlink ref="G44" r:id="rId31" display="https://www.salary.com/research/cost-of-living/compare/fresno-ca/camarillo-ca" xr:uid="{A0D54B61-EA84-4C8E-B9F7-F0EEBC166926}"/>
    <hyperlink ref="G45" r:id="rId32" display="https://www.salary.com/research/cost-of-living/compare/fresno-ca/martinez-ca" xr:uid="{3D72249E-D171-48DB-91A6-BF163B85F8C7}"/>
    <hyperlink ref="B39" r:id="rId33" display="Cabrillo Community College District (2019-2022)" xr:uid="{5301B760-AA7D-4C81-9DA5-DD0A21756864}"/>
    <hyperlink ref="B52" r:id="rId34" display="College of the Sequoias (2021-2024)" xr:uid="{EBD14B68-40E8-49E2-BC2C-0D5EE423E53D}"/>
    <hyperlink ref="B38" r:id="rId35" display="Gavilan Community College District (2018-2021)" xr:uid="{BD938740-45B2-4FB1-AA58-A2FAA3D37B3F}"/>
    <hyperlink ref="B41" r:id="rId36" display="Hartnell Community College District (2019-2022)" xr:uid="{0DF75DB2-B63A-43F9-9F2D-EACA82DD4B98}"/>
    <hyperlink ref="B54" r:id="rId37" display="Kern Community College District (2020-2023)" xr:uid="{1A8B037F-B63B-469D-A26E-1F3B02C716A7}"/>
    <hyperlink ref="B49" r:id="rId38" display="Merced Community College District (2018-2021)" xr:uid="{D2919E9E-775B-405C-8F48-C10E6C38E680}"/>
    <hyperlink ref="B40" r:id="rId39" display="Monterey - Peninsula Community College District (2019-2022)" xr:uid="{7767D175-B4B2-493B-B854-4506BCF8CD63}"/>
    <hyperlink ref="B43" r:id="rId40" display="San Luis Obispo County Community College District (2021-2023)" xr:uid="{BCAC134C-782A-4E83-8C7A-DB8901EE305C}"/>
    <hyperlink ref="B50" r:id="rId41" display="State Center Community College District (2018-2021) " xr:uid="{3CA45A95-FA37-4D1F-8762-74EF6196AE12}"/>
    <hyperlink ref="B55" r:id="rId42" display="West Kern Community College District (Taft College) (2020-2023)" xr:uid="{A730FFFD-F500-4C94-A7F8-83DD4B9CF7AA}"/>
    <hyperlink ref="B53" r:id="rId43" display="West Hills Community College District (2019-2022) " xr:uid="{62175D76-7D58-498B-BDDD-D9EFC31C6DCD}"/>
    <hyperlink ref="B48" r:id="rId44" display="Yosemite Community College District (2020-2023) " xr:uid="{41C94D69-5C4C-41F8-9A99-8F5652C52043}"/>
    <hyperlink ref="B42" r:id="rId45" display="Allan Hancock CCD (2021-2024)" xr:uid="{20DA7EAE-685C-4070-86F7-926B57993D41}"/>
    <hyperlink ref="B44" r:id="rId46" display="Ventura" xr:uid="{64332324-1749-480A-9DCC-3EBBC51A3E8B}"/>
    <hyperlink ref="B46" r:id="rId47" display="Los Rios" xr:uid="{471FABED-D776-40D4-87A1-914EF5ABBAA8}"/>
    <hyperlink ref="B45" r:id="rId48" display="Contra Costa Community College District (2019-2022)" xr:uid="{34870AD7-02DB-475C-9D28-3AE9B669EC1C}"/>
    <hyperlink ref="B47" r:id="rId49" display="San Joaquin Delta (2024-2027)" xr:uid="{E43D32E7-291B-437A-97B0-CDFA5C3298B1}"/>
    <hyperlink ref="B51" r:id="rId50" display="State Center Community College District (2018-2021) " xr:uid="{CE1A985E-B860-4C94-8CAA-DD1026A8C9C7}"/>
  </hyperlinks>
  <pageMargins left="0.25" right="0.25" top="0.75" bottom="0.75" header="0.3" footer="0.3"/>
  <pageSetup scale="36" orientation="landscape" r:id="rId51"/>
  <drawing r:id="rId52"/>
  <legacyDrawing r:id="rId53"/>
  <tableParts count="1">
    <tablePart r:id="rId54"/>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C34"/>
  <sheetViews>
    <sheetView workbookViewId="0">
      <selection activeCell="C19" sqref="C19"/>
    </sheetView>
  </sheetViews>
  <sheetFormatPr defaultRowHeight="15" x14ac:dyDescent="0.25"/>
  <cols>
    <col min="1" max="1" width="4.7109375" customWidth="1"/>
    <col min="2" max="2" width="29.42578125" customWidth="1"/>
    <col min="3" max="3" width="25.28515625" customWidth="1"/>
  </cols>
  <sheetData>
    <row r="1" spans="1:3" ht="45.75" thickBot="1" x14ac:dyDescent="0.3">
      <c r="B1" s="8" t="str">
        <f>'Raw Data'!B2</f>
        <v>District</v>
      </c>
      <c r="C1" s="11" t="s">
        <v>15</v>
      </c>
    </row>
    <row r="2" spans="1:3" x14ac:dyDescent="0.25">
      <c r="A2" s="4">
        <v>1</v>
      </c>
      <c r="B2" s="12" t="s">
        <v>5</v>
      </c>
      <c r="C2" s="20">
        <f>144089.24-128416.5</f>
        <v>15672.739999999991</v>
      </c>
    </row>
    <row r="3" spans="1:3" x14ac:dyDescent="0.25">
      <c r="A3" s="5">
        <v>2</v>
      </c>
      <c r="B3" s="13" t="s">
        <v>0</v>
      </c>
      <c r="C3" s="21">
        <f>132947.54-128416.5</f>
        <v>4531.0400000000081</v>
      </c>
    </row>
    <row r="4" spans="1:3" x14ac:dyDescent="0.25">
      <c r="A4" s="5">
        <v>3</v>
      </c>
      <c r="B4" s="14" t="s">
        <v>8</v>
      </c>
      <c r="C4" s="10">
        <f>128416.5-128416.5</f>
        <v>0</v>
      </c>
    </row>
    <row r="5" spans="1:3" x14ac:dyDescent="0.25">
      <c r="A5" s="5">
        <v>4</v>
      </c>
      <c r="B5" s="13" t="s">
        <v>9</v>
      </c>
      <c r="C5" s="21">
        <f>128228.27-128416.5</f>
        <v>-188.22999999999593</v>
      </c>
    </row>
    <row r="6" spans="1:3" x14ac:dyDescent="0.25">
      <c r="A6" s="5">
        <v>5</v>
      </c>
      <c r="B6" s="13" t="s">
        <v>7</v>
      </c>
      <c r="C6" s="21">
        <f>125277.31-128416.5</f>
        <v>-3139.1900000000023</v>
      </c>
    </row>
    <row r="7" spans="1:3" x14ac:dyDescent="0.25">
      <c r="A7" s="5">
        <v>6</v>
      </c>
      <c r="B7" s="13" t="s">
        <v>4</v>
      </c>
      <c r="C7" s="21">
        <f>122081.25-128416.5</f>
        <v>-6335.25</v>
      </c>
    </row>
    <row r="8" spans="1:3" x14ac:dyDescent="0.25">
      <c r="A8" s="5">
        <v>7</v>
      </c>
      <c r="B8" s="13" t="s">
        <v>11</v>
      </c>
      <c r="C8" s="21">
        <f>119441.62-128416.5</f>
        <v>-8974.8800000000047</v>
      </c>
    </row>
    <row r="9" spans="1:3" x14ac:dyDescent="0.25">
      <c r="A9" s="5">
        <v>8</v>
      </c>
      <c r="B9" s="13" t="s">
        <v>1</v>
      </c>
      <c r="C9" s="21">
        <f>110999.42-128416.5</f>
        <v>-17417.080000000002</v>
      </c>
    </row>
    <row r="10" spans="1:3" x14ac:dyDescent="0.25">
      <c r="A10" s="5">
        <v>9</v>
      </c>
      <c r="B10" s="13" t="s">
        <v>13</v>
      </c>
      <c r="C10" s="21">
        <f>110126.29-128416.5</f>
        <v>-18290.210000000006</v>
      </c>
    </row>
    <row r="11" spans="1:3" x14ac:dyDescent="0.25">
      <c r="A11" s="5">
        <v>10</v>
      </c>
      <c r="B11" s="13" t="s">
        <v>12</v>
      </c>
      <c r="C11" s="21">
        <f>109607.65-128416.5</f>
        <v>-18808.850000000006</v>
      </c>
    </row>
    <row r="12" spans="1:3" x14ac:dyDescent="0.25">
      <c r="A12" s="5">
        <v>11</v>
      </c>
      <c r="B12" s="13" t="s">
        <v>6</v>
      </c>
      <c r="C12" s="21">
        <f>107385.82-128416.5</f>
        <v>-21030.679999999993</v>
      </c>
    </row>
    <row r="13" spans="1:3" x14ac:dyDescent="0.25">
      <c r="A13" s="5">
        <v>12</v>
      </c>
      <c r="B13" s="13" t="s">
        <v>10</v>
      </c>
      <c r="C13" s="21">
        <f>106821.81-128416.5</f>
        <v>-21594.690000000002</v>
      </c>
    </row>
    <row r="14" spans="1:3" ht="15.75" thickBot="1" x14ac:dyDescent="0.3">
      <c r="A14" s="6">
        <v>13</v>
      </c>
      <c r="B14" s="16" t="s">
        <v>3</v>
      </c>
      <c r="C14" s="22">
        <f>89024.8-128416.5</f>
        <v>-39391.699999999997</v>
      </c>
    </row>
    <row r="15" spans="1:3" x14ac:dyDescent="0.25">
      <c r="B15" s="2"/>
      <c r="C15" s="1"/>
    </row>
    <row r="22" spans="3:3" x14ac:dyDescent="0.25">
      <c r="C22" s="3"/>
    </row>
    <row r="23" spans="3:3" x14ac:dyDescent="0.25">
      <c r="C23" s="3"/>
    </row>
    <row r="24" spans="3:3" x14ac:dyDescent="0.25">
      <c r="C24" s="3"/>
    </row>
    <row r="25" spans="3:3" x14ac:dyDescent="0.25">
      <c r="C25" s="3"/>
    </row>
    <row r="26" spans="3:3" x14ac:dyDescent="0.25">
      <c r="C26" s="3"/>
    </row>
    <row r="27" spans="3:3" x14ac:dyDescent="0.25">
      <c r="C27" s="3"/>
    </row>
    <row r="28" spans="3:3" x14ac:dyDescent="0.25">
      <c r="C28" s="3"/>
    </row>
    <row r="29" spans="3:3" x14ac:dyDescent="0.25">
      <c r="C29" s="3"/>
    </row>
    <row r="30" spans="3:3" x14ac:dyDescent="0.25">
      <c r="C30" s="3"/>
    </row>
    <row r="31" spans="3:3" x14ac:dyDescent="0.25">
      <c r="C31" s="3"/>
    </row>
    <row r="32" spans="3:3" x14ac:dyDescent="0.25">
      <c r="C32" s="3"/>
    </row>
    <row r="33" spans="3:3" x14ac:dyDescent="0.25">
      <c r="C33" s="3"/>
    </row>
    <row r="34" spans="3:3" x14ac:dyDescent="0.25">
      <c r="C34" s="3"/>
    </row>
  </sheetData>
  <hyperlinks>
    <hyperlink ref="B3" r:id="rId1" xr:uid="{00000000-0004-0000-0E00-000000000000}"/>
    <hyperlink ref="B9" r:id="rId2" xr:uid="{00000000-0004-0000-0E00-000001000000}"/>
    <hyperlink ref="B14" r:id="rId3" xr:uid="{00000000-0004-0000-0E00-000002000000}"/>
    <hyperlink ref="B7" r:id="rId4" xr:uid="{00000000-0004-0000-0E00-000003000000}"/>
    <hyperlink ref="B2" r:id="rId5" xr:uid="{00000000-0004-0000-0E00-000004000000}"/>
    <hyperlink ref="B12" r:id="rId6" xr:uid="{00000000-0004-0000-0E00-000005000000}"/>
    <hyperlink ref="B6" r:id="rId7" xr:uid="{00000000-0004-0000-0E00-000006000000}"/>
    <hyperlink ref="B4" r:id="rId8" display="Palo Verde (SR64)" xr:uid="{00000000-0004-0000-0E00-000007000000}"/>
    <hyperlink ref="B5" r:id="rId9" xr:uid="{00000000-0004-0000-0E00-000008000000}"/>
    <hyperlink ref="B13" r:id="rId10" xr:uid="{00000000-0004-0000-0E00-000009000000}"/>
    <hyperlink ref="B8" r:id="rId11" xr:uid="{00000000-0004-0000-0E00-00000A000000}"/>
    <hyperlink ref="B11" r:id="rId12" xr:uid="{00000000-0004-0000-0E00-00000B000000}"/>
    <hyperlink ref="B10" r:id="rId13" xr:uid="{00000000-0004-0000-0E00-00000C000000}"/>
    <hyperlink ref="C3" r:id="rId14" display="https://www.bestplaces.net/cost-of-living/bakersfield-ca/blythe-ca/143731" xr:uid="{00000000-0004-0000-0E00-00000D000000}"/>
    <hyperlink ref="C13" r:id="rId15" display="https://www.bestplaces.net/cost-of-living/palm-desert-ca/blythe-ca/142112" xr:uid="{00000000-0004-0000-0E00-00000E000000}"/>
    <hyperlink ref="C10" r:id="rId16" display="https://www.bestplaces.net/cost-of-living/san jacinto-ca/blythe-ca/140844" xr:uid="{00000000-0004-0000-0E00-00000F000000}"/>
    <hyperlink ref="C8" r:id="rId17" display="https://www.bestplaces.net/cost-of-living/san bernardino-ca/blythe-ca/137990" xr:uid="{00000000-0004-0000-0E00-000010000000}"/>
    <hyperlink ref="C2" r:id="rId18" display="https://www.bestplaces.net/cost-of-living/barstow-ca/blythe-ca/132545" xr:uid="{00000000-0004-0000-0E00-000011000000}"/>
    <hyperlink ref="C14" r:id="rId19" display="https://www.bestplaces.net/cost-of-living/south-lake-tahoe-ca/blythe-ca/125392" xr:uid="{00000000-0004-0000-0E00-000012000000}"/>
    <hyperlink ref="C5" r:id="rId20" display="https://www.bestplaces.net/cost-of-living/weed-ca/blythe-ca/120872" xr:uid="{00000000-0004-0000-0E00-000013000000}"/>
    <hyperlink ref="C7" r:id="rId21" display="https://www.bestplaces.net/cost-of-living/susanville-ca/blythe-ca/113991" xr:uid="{00000000-0004-0000-0E00-000014000000}"/>
    <hyperlink ref="C9" r:id="rId22" display="https://www.bestplaces.net/cost-of-living/quincy-ca/blythe-ca/111219" xr:uid="{00000000-0004-0000-0E00-000015000000}"/>
    <hyperlink ref="C11" r:id="rId23" display="https://www.bestplaces.net/cost-of-living/riverside-ca/blythe-ca/159587" xr:uid="{00000000-0004-0000-0E00-000016000000}"/>
    <hyperlink ref="C6" r:id="rId24" display="https://www.bestplaces.net/cost-of-living/joshua-tree-ca/blythe-ca/126888" xr:uid="{00000000-0004-0000-0E00-000017000000}"/>
    <hyperlink ref="C12" r:id="rId25" display="https://www.bestplaces.net/cost-of-living/ukiah-ca/blythe-ca/130435" xr:uid="{00000000-0004-0000-0E00-000018000000}"/>
  </hyperlinks>
  <pageMargins left="0.25" right="0.25" top="0.75" bottom="0.75" header="0.3" footer="0.3"/>
  <pageSetup scale="72" orientation="landscape" verticalDpi="1200" r:id="rId26"/>
  <drawing r:id="rId27"/>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6:C38"/>
  <sheetViews>
    <sheetView topLeftCell="A25" workbookViewId="0">
      <selection activeCell="A24" sqref="A24:C38"/>
    </sheetView>
  </sheetViews>
  <sheetFormatPr defaultRowHeight="15" x14ac:dyDescent="0.25"/>
  <cols>
    <col min="1" max="1" width="4.7109375" customWidth="1"/>
    <col min="2" max="2" width="29.42578125" customWidth="1"/>
    <col min="3" max="3" width="25.28515625" customWidth="1"/>
  </cols>
  <sheetData>
    <row r="16" spans="3:3" x14ac:dyDescent="0.25">
      <c r="C16" s="28"/>
    </row>
    <row r="22" spans="1:3" x14ac:dyDescent="0.25">
      <c r="C22" s="3"/>
    </row>
    <row r="23" spans="1:3" ht="15.75" thickBot="1" x14ac:dyDescent="0.3">
      <c r="C23" s="3"/>
    </row>
    <row r="24" spans="1:3" ht="15.75" thickBot="1" x14ac:dyDescent="0.3">
      <c r="B24" s="8" t="str">
        <f>'Raw Data'!B2</f>
        <v>District</v>
      </c>
      <c r="C24" s="11" t="s">
        <v>19</v>
      </c>
    </row>
    <row r="25" spans="1:3" x14ac:dyDescent="0.25">
      <c r="A25" s="4">
        <v>1</v>
      </c>
      <c r="B25" s="12" t="s">
        <v>7</v>
      </c>
      <c r="C25" s="23">
        <v>177</v>
      </c>
    </row>
    <row r="26" spans="1:3" x14ac:dyDescent="0.25">
      <c r="A26" s="5">
        <v>2</v>
      </c>
      <c r="B26" s="13" t="s">
        <v>3</v>
      </c>
      <c r="C26" s="24">
        <v>177</v>
      </c>
    </row>
    <row r="27" spans="1:3" x14ac:dyDescent="0.25">
      <c r="A27" s="5">
        <v>3</v>
      </c>
      <c r="B27" s="13" t="s">
        <v>4</v>
      </c>
      <c r="C27" s="24">
        <v>177</v>
      </c>
    </row>
    <row r="28" spans="1:3" x14ac:dyDescent="0.25">
      <c r="A28" s="5">
        <v>4</v>
      </c>
      <c r="B28" s="14" t="s">
        <v>8</v>
      </c>
      <c r="C28" s="25">
        <v>177</v>
      </c>
    </row>
    <row r="29" spans="1:3" x14ac:dyDescent="0.25">
      <c r="A29" s="5">
        <v>5</v>
      </c>
      <c r="B29" s="13" t="s">
        <v>11</v>
      </c>
      <c r="C29" s="24">
        <v>177</v>
      </c>
    </row>
    <row r="30" spans="1:3" x14ac:dyDescent="0.25">
      <c r="A30" s="5">
        <v>6</v>
      </c>
      <c r="B30" s="13" t="s">
        <v>5</v>
      </c>
      <c r="C30" s="24">
        <v>176</v>
      </c>
    </row>
    <row r="31" spans="1:3" x14ac:dyDescent="0.25">
      <c r="A31" s="5">
        <v>7</v>
      </c>
      <c r="B31" s="13" t="s">
        <v>13</v>
      </c>
      <c r="C31" s="24">
        <v>176</v>
      </c>
    </row>
    <row r="32" spans="1:3" x14ac:dyDescent="0.25">
      <c r="A32" s="5">
        <v>8</v>
      </c>
      <c r="B32" s="13" t="s">
        <v>12</v>
      </c>
      <c r="C32" s="24">
        <v>176</v>
      </c>
    </row>
    <row r="33" spans="1:3" x14ac:dyDescent="0.25">
      <c r="A33" s="5">
        <v>9</v>
      </c>
      <c r="B33" s="13" t="s">
        <v>10</v>
      </c>
      <c r="C33" s="24">
        <v>175</v>
      </c>
    </row>
    <row r="34" spans="1:3" x14ac:dyDescent="0.25">
      <c r="A34" s="5">
        <v>10</v>
      </c>
      <c r="B34" s="13" t="s">
        <v>1</v>
      </c>
      <c r="C34" s="24">
        <v>175</v>
      </c>
    </row>
    <row r="35" spans="1:3" x14ac:dyDescent="0.25">
      <c r="A35" s="5">
        <v>11</v>
      </c>
      <c r="B35" s="13" t="s">
        <v>0</v>
      </c>
      <c r="C35" s="24">
        <v>175</v>
      </c>
    </row>
    <row r="36" spans="1:3" x14ac:dyDescent="0.25">
      <c r="A36" s="5">
        <v>12</v>
      </c>
      <c r="B36" s="13" t="s">
        <v>6</v>
      </c>
      <c r="C36" s="24">
        <v>175</v>
      </c>
    </row>
    <row r="37" spans="1:3" ht="15.75" thickBot="1" x14ac:dyDescent="0.3">
      <c r="A37" s="6">
        <v>13</v>
      </c>
      <c r="B37" s="16" t="s">
        <v>9</v>
      </c>
      <c r="C37" s="26">
        <v>175</v>
      </c>
    </row>
    <row r="38" spans="1:3" x14ac:dyDescent="0.25">
      <c r="B38" s="2"/>
      <c r="C38" s="27"/>
    </row>
  </sheetData>
  <sortState xmlns:xlrd2="http://schemas.microsoft.com/office/spreadsheetml/2017/richdata2" ref="B25:C37">
    <sortCondition descending="1" ref="C25:C37"/>
  </sortState>
  <hyperlinks>
    <hyperlink ref="B35" r:id="rId1" xr:uid="{00000000-0004-0000-0F00-000000000000}"/>
    <hyperlink ref="B34" r:id="rId2" xr:uid="{00000000-0004-0000-0F00-000001000000}"/>
    <hyperlink ref="B26" r:id="rId3" xr:uid="{00000000-0004-0000-0F00-000002000000}"/>
    <hyperlink ref="B27" r:id="rId4" xr:uid="{00000000-0004-0000-0F00-000003000000}"/>
    <hyperlink ref="B30" r:id="rId5" xr:uid="{00000000-0004-0000-0F00-000004000000}"/>
    <hyperlink ref="B36" r:id="rId6" xr:uid="{00000000-0004-0000-0F00-000005000000}"/>
    <hyperlink ref="B25" r:id="rId7" xr:uid="{00000000-0004-0000-0F00-000006000000}"/>
    <hyperlink ref="B28" r:id="rId8" display="Palo Verde (SR64)" xr:uid="{00000000-0004-0000-0F00-000007000000}"/>
    <hyperlink ref="B37" r:id="rId9" xr:uid="{00000000-0004-0000-0F00-000008000000}"/>
    <hyperlink ref="B33" r:id="rId10" xr:uid="{00000000-0004-0000-0F00-000009000000}"/>
    <hyperlink ref="B29" r:id="rId11" xr:uid="{00000000-0004-0000-0F00-00000A000000}"/>
    <hyperlink ref="B32" r:id="rId12" xr:uid="{00000000-0004-0000-0F00-00000B000000}"/>
    <hyperlink ref="B31" r:id="rId13" xr:uid="{00000000-0004-0000-0F00-00000C000000}"/>
  </hyperlinks>
  <pageMargins left="0.25" right="0.25" top="0.75" bottom="0.75" header="0.3" footer="0.3"/>
  <pageSetup scale="76" orientation="landscape" verticalDpi="1200" r:id="rId14"/>
  <drawing r:id="rId1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E51"/>
  <sheetViews>
    <sheetView topLeftCell="A13" workbookViewId="0">
      <selection sqref="A1:C43"/>
    </sheetView>
  </sheetViews>
  <sheetFormatPr defaultRowHeight="15" x14ac:dyDescent="0.25"/>
  <cols>
    <col min="1" max="1" width="4.7109375" customWidth="1"/>
    <col min="2" max="2" width="29.42578125" customWidth="1"/>
    <col min="3" max="3" width="25.28515625" customWidth="1"/>
    <col min="4" max="4" width="4.42578125" customWidth="1"/>
    <col min="5" max="5" width="10.28515625" customWidth="1"/>
  </cols>
  <sheetData>
    <row r="1" spans="1:3" ht="22.5" customHeight="1" thickBot="1" x14ac:dyDescent="0.3">
      <c r="B1" s="40" t="s">
        <v>29</v>
      </c>
      <c r="C1" s="11" t="s">
        <v>28</v>
      </c>
    </row>
    <row r="2" spans="1:3" x14ac:dyDescent="0.25">
      <c r="A2" s="33">
        <v>1</v>
      </c>
      <c r="B2" s="35" t="s">
        <v>30</v>
      </c>
      <c r="C2" s="37">
        <f>131570.7/176</f>
        <v>747.56079545454554</v>
      </c>
    </row>
    <row r="3" spans="1:3" x14ac:dyDescent="0.25">
      <c r="A3" s="32">
        <v>2</v>
      </c>
      <c r="B3" s="34" t="s">
        <v>25</v>
      </c>
      <c r="C3" s="38">
        <f>129169/176</f>
        <v>733.91477272727275</v>
      </c>
    </row>
    <row r="4" spans="1:3" x14ac:dyDescent="0.25">
      <c r="A4" s="32">
        <v>3</v>
      </c>
      <c r="B4" s="34" t="s">
        <v>31</v>
      </c>
      <c r="C4" s="38">
        <f>127686.62/175</f>
        <v>729.6378285714286</v>
      </c>
    </row>
    <row r="5" spans="1:3" x14ac:dyDescent="0.25">
      <c r="A5" s="32">
        <v>4</v>
      </c>
      <c r="B5" s="34" t="s">
        <v>32</v>
      </c>
      <c r="C5" s="38">
        <f>124112.1/175</f>
        <v>709.21199999999999</v>
      </c>
    </row>
    <row r="6" spans="1:3" x14ac:dyDescent="0.25">
      <c r="A6" s="32">
        <v>5</v>
      </c>
      <c r="B6" s="34" t="s">
        <v>33</v>
      </c>
      <c r="C6" s="38">
        <f>121377.24/177</f>
        <v>685.74711864406788</v>
      </c>
    </row>
    <row r="7" spans="1:3" x14ac:dyDescent="0.25">
      <c r="A7" s="32">
        <v>6</v>
      </c>
      <c r="B7" s="34" t="s">
        <v>34</v>
      </c>
      <c r="C7" s="38">
        <f>115245/176</f>
        <v>654.80113636363637</v>
      </c>
    </row>
    <row r="8" spans="1:3" x14ac:dyDescent="0.25">
      <c r="A8" s="32">
        <v>7</v>
      </c>
      <c r="B8" s="34" t="s">
        <v>35</v>
      </c>
      <c r="C8" s="38">
        <f>106999/175</f>
        <v>611.4228571428572</v>
      </c>
    </row>
    <row r="9" spans="1:3" x14ac:dyDescent="0.25">
      <c r="A9" s="32">
        <v>8</v>
      </c>
      <c r="B9" s="36" t="s">
        <v>41</v>
      </c>
      <c r="C9" s="39">
        <f>107438/177</f>
        <v>606.99435028248593</v>
      </c>
    </row>
    <row r="10" spans="1:3" x14ac:dyDescent="0.25">
      <c r="A10" s="32">
        <v>9</v>
      </c>
      <c r="B10" s="34" t="s">
        <v>40</v>
      </c>
      <c r="C10" s="38">
        <f>106936/177</f>
        <v>604.15819209039546</v>
      </c>
    </row>
    <row r="11" spans="1:3" x14ac:dyDescent="0.25">
      <c r="A11" s="32">
        <v>10</v>
      </c>
      <c r="B11" s="34" t="s">
        <v>39</v>
      </c>
      <c r="C11" s="38">
        <f>105648.2/176</f>
        <v>600.27386363636367</v>
      </c>
    </row>
    <row r="12" spans="1:3" x14ac:dyDescent="0.25">
      <c r="A12" s="32">
        <v>11</v>
      </c>
      <c r="B12" s="34" t="s">
        <v>38</v>
      </c>
      <c r="C12" s="38">
        <f>99861/175</f>
        <v>570.63428571428574</v>
      </c>
    </row>
    <row r="13" spans="1:3" x14ac:dyDescent="0.25">
      <c r="A13" s="32">
        <v>12</v>
      </c>
      <c r="B13" s="34" t="s">
        <v>37</v>
      </c>
      <c r="C13" s="38">
        <f>98651.95/175</f>
        <v>563.72542857142855</v>
      </c>
    </row>
    <row r="14" spans="1:3" x14ac:dyDescent="0.25">
      <c r="A14" s="32">
        <v>13</v>
      </c>
      <c r="B14" s="53" t="s">
        <v>36</v>
      </c>
      <c r="C14" s="54">
        <f>96272.55/177</f>
        <v>543.91271186440679</v>
      </c>
    </row>
    <row r="15" spans="1:3" x14ac:dyDescent="0.25">
      <c r="A15" s="32">
        <v>1</v>
      </c>
      <c r="B15" s="34" t="s">
        <v>42</v>
      </c>
      <c r="C15" s="38">
        <f>68871.28/175</f>
        <v>393.55017142857145</v>
      </c>
    </row>
    <row r="16" spans="1:3" x14ac:dyDescent="0.25">
      <c r="A16" s="32">
        <v>2</v>
      </c>
      <c r="B16" s="34" t="s">
        <v>75</v>
      </c>
      <c r="C16" s="38">
        <f>61167.58/175</f>
        <v>349.52902857142857</v>
      </c>
    </row>
    <row r="17" spans="1:3" x14ac:dyDescent="0.25">
      <c r="A17" s="32">
        <v>3</v>
      </c>
      <c r="B17" s="34" t="s">
        <v>26</v>
      </c>
      <c r="C17" s="38">
        <f>60224/176</f>
        <v>342.18181818181819</v>
      </c>
    </row>
    <row r="18" spans="1:3" x14ac:dyDescent="0.25">
      <c r="A18" s="32">
        <v>4</v>
      </c>
      <c r="B18" s="34" t="s">
        <v>43</v>
      </c>
      <c r="C18" s="38">
        <f>58756.91/177</f>
        <v>331.9599435028249</v>
      </c>
    </row>
    <row r="19" spans="1:3" x14ac:dyDescent="0.25">
      <c r="A19" s="32">
        <v>5</v>
      </c>
      <c r="B19" s="34" t="s">
        <v>44</v>
      </c>
      <c r="C19" s="38">
        <f>56513/175</f>
        <v>322.93142857142857</v>
      </c>
    </row>
    <row r="20" spans="1:3" x14ac:dyDescent="0.25">
      <c r="A20" s="32">
        <v>6</v>
      </c>
      <c r="B20" s="34" t="s">
        <v>45</v>
      </c>
      <c r="C20" s="38">
        <f>55476/175</f>
        <v>317.0057142857143</v>
      </c>
    </row>
    <row r="21" spans="1:3" x14ac:dyDescent="0.25">
      <c r="A21" s="32">
        <v>7</v>
      </c>
      <c r="B21" s="34" t="s">
        <v>46</v>
      </c>
      <c r="C21" s="38">
        <f>56003.91/177</f>
        <v>316.40627118644068</v>
      </c>
    </row>
    <row r="22" spans="1:3" x14ac:dyDescent="0.25">
      <c r="A22" s="32">
        <v>8</v>
      </c>
      <c r="B22" s="36" t="s">
        <v>47</v>
      </c>
      <c r="C22" s="39">
        <f>55493/177</f>
        <v>313.51977401129943</v>
      </c>
    </row>
    <row r="23" spans="1:3" x14ac:dyDescent="0.25">
      <c r="A23" s="32">
        <v>9</v>
      </c>
      <c r="B23" s="34" t="s">
        <v>48</v>
      </c>
      <c r="C23" s="38">
        <f>54977/176</f>
        <v>312.36931818181819</v>
      </c>
    </row>
    <row r="24" spans="1:3" x14ac:dyDescent="0.25">
      <c r="A24" s="32">
        <v>10</v>
      </c>
      <c r="B24" s="34" t="s">
        <v>49</v>
      </c>
      <c r="C24" s="38">
        <f>52865.42/175</f>
        <v>302.08811428571425</v>
      </c>
    </row>
    <row r="25" spans="1:3" x14ac:dyDescent="0.25">
      <c r="A25" s="32">
        <v>11</v>
      </c>
      <c r="B25" s="34" t="s">
        <v>50</v>
      </c>
      <c r="C25" s="38">
        <f>51013/177</f>
        <v>288.20903954802259</v>
      </c>
    </row>
    <row r="26" spans="1:3" x14ac:dyDescent="0.25">
      <c r="A26" s="32">
        <v>12</v>
      </c>
      <c r="B26" s="34" t="s">
        <v>51</v>
      </c>
      <c r="C26" s="38">
        <f>48542.59/176</f>
        <v>275.81017045454541</v>
      </c>
    </row>
    <row r="27" spans="1:3" ht="15.75" thickBot="1" x14ac:dyDescent="0.3">
      <c r="A27" s="32">
        <v>13</v>
      </c>
      <c r="B27" s="46" t="s">
        <v>52</v>
      </c>
      <c r="C27" s="47">
        <f>47908.98/176</f>
        <v>272.21011363636364</v>
      </c>
    </row>
    <row r="28" spans="1:3" ht="15.75" thickBot="1" x14ac:dyDescent="0.3">
      <c r="B28" s="29" t="s">
        <v>27</v>
      </c>
      <c r="C28" s="27"/>
    </row>
    <row r="29" spans="1:3" x14ac:dyDescent="0.25">
      <c r="B29" s="61" t="s">
        <v>80</v>
      </c>
      <c r="C29" s="18">
        <f>AVERAGE(C2:C14)</f>
        <v>643.23041085101352</v>
      </c>
    </row>
    <row r="30" spans="1:3" ht="15.75" thickBot="1" x14ac:dyDescent="0.3">
      <c r="B30" s="56" t="s">
        <v>81</v>
      </c>
      <c r="C30" s="19">
        <f>AVERAGE(C15:C27)</f>
        <v>318.29006968046082</v>
      </c>
    </row>
    <row r="31" spans="1:3" x14ac:dyDescent="0.25">
      <c r="B31" s="61" t="s">
        <v>82</v>
      </c>
      <c r="C31" s="18">
        <f>C8</f>
        <v>611.4228571428572</v>
      </c>
    </row>
    <row r="32" spans="1:3" ht="15.75" thickBot="1" x14ac:dyDescent="0.3">
      <c r="B32" s="56" t="s">
        <v>83</v>
      </c>
      <c r="C32" s="19">
        <f>C21</f>
        <v>316.40627118644068</v>
      </c>
    </row>
    <row r="33" spans="2:5" ht="15.75" thickBot="1" x14ac:dyDescent="0.3">
      <c r="C33" s="3"/>
    </row>
    <row r="34" spans="2:5" x14ac:dyDescent="0.25">
      <c r="B34" s="57" t="s">
        <v>84</v>
      </c>
      <c r="C34" s="58">
        <f>C29-C9</f>
        <v>36.236060568527591</v>
      </c>
    </row>
    <row r="35" spans="2:5" x14ac:dyDescent="0.25">
      <c r="B35" s="62" t="s">
        <v>85</v>
      </c>
      <c r="C35" s="63">
        <f>C30-C22</f>
        <v>4.7702956691613849</v>
      </c>
    </row>
    <row r="36" spans="2:5" x14ac:dyDescent="0.25">
      <c r="B36" s="62" t="s">
        <v>86</v>
      </c>
      <c r="C36" s="63">
        <f>C31-C9</f>
        <v>4.4285068603712716</v>
      </c>
    </row>
    <row r="37" spans="2:5" ht="15.75" thickBot="1" x14ac:dyDescent="0.3">
      <c r="B37" s="59" t="s">
        <v>87</v>
      </c>
      <c r="C37" s="60">
        <f>C32-C22</f>
        <v>2.886497175141244</v>
      </c>
    </row>
    <row r="38" spans="2:5" ht="15.75" thickBot="1" x14ac:dyDescent="0.3"/>
    <row r="39" spans="2:5" x14ac:dyDescent="0.25">
      <c r="B39" s="57" t="s">
        <v>90</v>
      </c>
      <c r="C39" s="69">
        <f>C34/C9</f>
        <v>5.969752527624661E-2</v>
      </c>
      <c r="E39" s="55"/>
    </row>
    <row r="40" spans="2:5" x14ac:dyDescent="0.25">
      <c r="B40" s="62" t="s">
        <v>91</v>
      </c>
      <c r="C40" s="70">
        <f>C35/C22</f>
        <v>1.5215294423468998E-2</v>
      </c>
    </row>
    <row r="41" spans="2:5" x14ac:dyDescent="0.25">
      <c r="B41" s="62" t="s">
        <v>92</v>
      </c>
      <c r="C41" s="70">
        <f>C36/C9</f>
        <v>7.2957958477048628E-3</v>
      </c>
    </row>
    <row r="42" spans="2:5" ht="15.75" thickBot="1" x14ac:dyDescent="0.3">
      <c r="B42" s="59" t="s">
        <v>93</v>
      </c>
      <c r="C42" s="71">
        <f>C37/C22</f>
        <v>9.2067467968933048E-3</v>
      </c>
    </row>
    <row r="43" spans="2:5" x14ac:dyDescent="0.25">
      <c r="C43" s="3"/>
    </row>
    <row r="44" spans="2:5" x14ac:dyDescent="0.25">
      <c r="C44" s="3"/>
    </row>
    <row r="45" spans="2:5" x14ac:dyDescent="0.25">
      <c r="C45" s="3"/>
    </row>
    <row r="46" spans="2:5" x14ac:dyDescent="0.25">
      <c r="C46" s="3"/>
    </row>
    <row r="47" spans="2:5" x14ac:dyDescent="0.25">
      <c r="C47" s="3"/>
    </row>
    <row r="48" spans="2:5" x14ac:dyDescent="0.25">
      <c r="C48" s="3"/>
    </row>
    <row r="49" spans="3:3" x14ac:dyDescent="0.25">
      <c r="C49" s="3"/>
    </row>
    <row r="50" spans="3:3" x14ac:dyDescent="0.25">
      <c r="C50" s="3"/>
    </row>
    <row r="51" spans="3:3" x14ac:dyDescent="0.25">
      <c r="C51" s="3"/>
    </row>
  </sheetData>
  <sortState xmlns:xlrd2="http://schemas.microsoft.com/office/spreadsheetml/2017/richdata2" ref="B2:C29">
    <sortCondition descending="1" ref="C2:C29"/>
  </sortState>
  <hyperlinks>
    <hyperlink ref="B15" r:id="rId1" display="Kern CCD 2018-2019 " xr:uid="{00000000-0004-0000-1000-000000000000}"/>
    <hyperlink ref="B20" r:id="rId2" display="Feather River 2018-2019" xr:uid="{00000000-0004-0000-1000-000001000000}"/>
    <hyperlink ref="B25" r:id="rId3" display="Lake Tahoe 2018-2019" xr:uid="{00000000-0004-0000-1000-000002000000}"/>
    <hyperlink ref="B18" r:id="rId4" display="Lassen 2018-2019" xr:uid="{00000000-0004-0000-1000-000003000000}"/>
    <hyperlink ref="B23" r:id="rId5" display="Barstow 2018-2019" xr:uid="{00000000-0004-0000-1000-000004000000}"/>
    <hyperlink ref="B19" r:id="rId6" display="Mendocino 2018-2019" xr:uid="{00000000-0004-0000-1000-000005000000}"/>
    <hyperlink ref="B27" r:id="rId7" display="Copper Mountain 2018-2019" xr:uid="{00000000-0004-0000-1000-000006000000}"/>
    <hyperlink ref="B22" r:id="rId8" display="Palo Verde (SR64)" xr:uid="{00000000-0004-0000-1000-000007000000}"/>
    <hyperlink ref="B16" r:id="rId9" display="Desert 2018-2019" xr:uid="{00000000-0004-0000-1000-000008000000}"/>
    <hyperlink ref="B21" r:id="rId10" display="San Bernardino 2018-2019" xr:uid="{00000000-0004-0000-1000-000009000000}"/>
    <hyperlink ref="B17" r:id="rId11" display="Riverside 2018-2019" xr:uid="{00000000-0004-0000-1000-00000A000000}"/>
    <hyperlink ref="B26" r:id="rId12" display="Mt. San Jacinto 2017-2018" xr:uid="{00000000-0004-0000-1000-00000B000000}"/>
    <hyperlink ref="B7" r:id="rId13" display="Barstow 2018-2019" xr:uid="{00000000-0004-0000-1000-00000C000000}"/>
    <hyperlink ref="B11" r:id="rId14" display="Copper Mountain 2018-2019" xr:uid="{00000000-0004-0000-1000-00000D000000}"/>
    <hyperlink ref="B24" r:id="rId15" display="Siskiyous 2016-2017" xr:uid="{00000000-0004-0000-1000-00000E000000}"/>
    <hyperlink ref="B5" r:id="rId16" display="Desert 2018-2019" xr:uid="{00000000-0004-0000-1000-00000F000000}"/>
    <hyperlink ref="B12" r:id="rId17" display="Feather River 2018-2019" xr:uid="{00000000-0004-0000-1000-000010000000}"/>
    <hyperlink ref="B4" r:id="rId18" display="Kern CCD 2018-2019 " xr:uid="{00000000-0004-0000-1000-000011000000}"/>
    <hyperlink ref="B10" r:id="rId19" display="Lake Tahoe 2018-2019" xr:uid="{00000000-0004-0000-1000-000012000000}"/>
    <hyperlink ref="B14" r:id="rId20" display="Lassen 2018-2019" xr:uid="{00000000-0004-0000-1000-000013000000}"/>
    <hyperlink ref="B8" r:id="rId21" display="Mendocino 2018-2019" xr:uid="{00000000-0004-0000-1000-000014000000}"/>
    <hyperlink ref="B2" r:id="rId22" display="Mt. San Jacinto 2017-2018" xr:uid="{00000000-0004-0000-1000-000015000000}"/>
    <hyperlink ref="B3" r:id="rId23" display="Riverside 2018-2019" xr:uid="{00000000-0004-0000-1000-000016000000}"/>
    <hyperlink ref="B6" r:id="rId24" display="San Bernardino 2018-2019" xr:uid="{00000000-0004-0000-1000-000017000000}"/>
    <hyperlink ref="B13" r:id="rId25" display="Siskiyous 2016-2017" xr:uid="{00000000-0004-0000-1000-000018000000}"/>
    <hyperlink ref="B9" r:id="rId26" display="Palo Verde (SR64)" xr:uid="{00000000-0004-0000-1000-000019000000}"/>
  </hyperlinks>
  <pageMargins left="0.25" right="0.25" top="0.75" bottom="0.75" header="0.3" footer="0.3"/>
  <pageSetup scale="72" orientation="landscape" verticalDpi="1200" r:id="rId27"/>
  <drawing r:id="rId28"/>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C34"/>
  <sheetViews>
    <sheetView topLeftCell="A13" workbookViewId="0">
      <selection sqref="A1:C21"/>
    </sheetView>
  </sheetViews>
  <sheetFormatPr defaultRowHeight="15" x14ac:dyDescent="0.25"/>
  <cols>
    <col min="1" max="1" width="4.7109375" customWidth="1"/>
    <col min="2" max="2" width="29.42578125" customWidth="1"/>
    <col min="3" max="3" width="25.28515625" customWidth="1"/>
  </cols>
  <sheetData>
    <row r="1" spans="1:3" ht="15.75" thickBot="1" x14ac:dyDescent="0.3">
      <c r="B1" s="8" t="str">
        <f>'Raw Data'!B2</f>
        <v>District</v>
      </c>
      <c r="C1" s="11" t="s">
        <v>20</v>
      </c>
    </row>
    <row r="2" spans="1:3" x14ac:dyDescent="0.25">
      <c r="A2" s="4">
        <v>1</v>
      </c>
      <c r="B2" s="12" t="s">
        <v>5</v>
      </c>
      <c r="C2" s="31">
        <v>1</v>
      </c>
    </row>
    <row r="3" spans="1:3" x14ac:dyDescent="0.25">
      <c r="A3" s="5">
        <v>2</v>
      </c>
      <c r="B3" s="13" t="s">
        <v>0</v>
      </c>
      <c r="C3" s="30">
        <v>1</v>
      </c>
    </row>
    <row r="4" spans="1:3" x14ac:dyDescent="0.25">
      <c r="A4" s="5">
        <v>3</v>
      </c>
      <c r="B4" s="13" t="s">
        <v>3</v>
      </c>
      <c r="C4" s="30">
        <v>1</v>
      </c>
    </row>
    <row r="5" spans="1:3" x14ac:dyDescent="0.25">
      <c r="A5" s="5">
        <v>4</v>
      </c>
      <c r="B5" s="13" t="s">
        <v>22</v>
      </c>
      <c r="C5" s="30">
        <v>0.85</v>
      </c>
    </row>
    <row r="6" spans="1:3" x14ac:dyDescent="0.25">
      <c r="A6" s="5">
        <v>5</v>
      </c>
      <c r="B6" s="13" t="s">
        <v>23</v>
      </c>
      <c r="C6" s="30">
        <f>0.05/0.0666</f>
        <v>0.75075075075075071</v>
      </c>
    </row>
    <row r="7" spans="1:3" x14ac:dyDescent="0.25">
      <c r="A7" s="5">
        <v>6</v>
      </c>
      <c r="B7" s="13" t="s">
        <v>4</v>
      </c>
      <c r="C7" s="30">
        <v>0.75</v>
      </c>
    </row>
    <row r="8" spans="1:3" x14ac:dyDescent="0.25">
      <c r="A8" s="5">
        <v>7</v>
      </c>
      <c r="B8" s="13" t="s">
        <v>13</v>
      </c>
      <c r="C8" s="30">
        <f>15/20</f>
        <v>0.75</v>
      </c>
    </row>
    <row r="9" spans="1:3" x14ac:dyDescent="0.25">
      <c r="A9" s="5">
        <v>8</v>
      </c>
      <c r="B9" s="13" t="s">
        <v>6</v>
      </c>
      <c r="C9" s="30">
        <v>0.75</v>
      </c>
    </row>
    <row r="10" spans="1:3" x14ac:dyDescent="0.25">
      <c r="A10" s="5">
        <v>9</v>
      </c>
      <c r="B10" s="13" t="s">
        <v>11</v>
      </c>
      <c r="C10" s="30">
        <f>15/21</f>
        <v>0.7142857142857143</v>
      </c>
    </row>
    <row r="11" spans="1:3" x14ac:dyDescent="0.25">
      <c r="A11" s="5">
        <v>10</v>
      </c>
      <c r="B11" s="13" t="s">
        <v>24</v>
      </c>
      <c r="C11" s="30">
        <v>0.7</v>
      </c>
    </row>
    <row r="12" spans="1:3" x14ac:dyDescent="0.25">
      <c r="A12" s="5">
        <v>11</v>
      </c>
      <c r="B12" s="13" t="s">
        <v>7</v>
      </c>
      <c r="C12" s="30">
        <v>0.66700000000000004</v>
      </c>
    </row>
    <row r="13" spans="1:3" x14ac:dyDescent="0.25">
      <c r="A13" s="5">
        <v>12</v>
      </c>
      <c r="B13" s="13" t="s">
        <v>10</v>
      </c>
      <c r="C13" s="30">
        <v>0.66700000000000004</v>
      </c>
    </row>
    <row r="14" spans="1:3" ht="15.75" thickBot="1" x14ac:dyDescent="0.3">
      <c r="A14" s="6">
        <v>13</v>
      </c>
      <c r="B14" s="42" t="s">
        <v>8</v>
      </c>
      <c r="C14" s="43">
        <v>0.66600000000000004</v>
      </c>
    </row>
    <row r="15" spans="1:3" ht="15.75" thickBot="1" x14ac:dyDescent="0.3">
      <c r="B15" s="29" t="s">
        <v>21</v>
      </c>
      <c r="C15" s="1"/>
    </row>
    <row r="16" spans="1:3" x14ac:dyDescent="0.25">
      <c r="B16" s="61" t="s">
        <v>76</v>
      </c>
      <c r="C16" s="67">
        <f>AVERAGE(C2:C14)</f>
        <v>0.78961818961818964</v>
      </c>
    </row>
    <row r="17" spans="2:3" ht="15.75" thickBot="1" x14ac:dyDescent="0.3">
      <c r="B17" s="56" t="s">
        <v>77</v>
      </c>
      <c r="C17" s="68">
        <f>C8</f>
        <v>0.75</v>
      </c>
    </row>
    <row r="18" spans="2:3" ht="15.75" thickBot="1" x14ac:dyDescent="0.3">
      <c r="C18" s="64"/>
    </row>
    <row r="19" spans="2:3" x14ac:dyDescent="0.25">
      <c r="B19" s="57" t="s">
        <v>78</v>
      </c>
      <c r="C19" s="65">
        <f>C16-C14</f>
        <v>0.1236181896181896</v>
      </c>
    </row>
    <row r="20" spans="2:3" ht="15.75" thickBot="1" x14ac:dyDescent="0.3">
      <c r="B20" s="59" t="s">
        <v>79</v>
      </c>
      <c r="C20" s="66">
        <f>C17-C14</f>
        <v>8.3999999999999964E-2</v>
      </c>
    </row>
    <row r="22" spans="2:3" x14ac:dyDescent="0.25">
      <c r="C22" s="3"/>
    </row>
    <row r="23" spans="2:3" x14ac:dyDescent="0.25">
      <c r="C23" s="3"/>
    </row>
    <row r="24" spans="2:3" x14ac:dyDescent="0.25">
      <c r="C24" s="3"/>
    </row>
    <row r="25" spans="2:3" x14ac:dyDescent="0.25">
      <c r="C25" s="3"/>
    </row>
    <row r="26" spans="2:3" x14ac:dyDescent="0.25">
      <c r="C26" s="3"/>
    </row>
    <row r="27" spans="2:3" x14ac:dyDescent="0.25">
      <c r="C27" s="3"/>
    </row>
    <row r="28" spans="2:3" x14ac:dyDescent="0.25">
      <c r="C28" s="3"/>
    </row>
    <row r="29" spans="2:3" x14ac:dyDescent="0.25">
      <c r="C29" s="3"/>
    </row>
    <row r="30" spans="2:3" x14ac:dyDescent="0.25">
      <c r="C30" s="3"/>
    </row>
    <row r="31" spans="2:3" x14ac:dyDescent="0.25">
      <c r="C31" s="3"/>
    </row>
    <row r="32" spans="2:3" x14ac:dyDescent="0.25">
      <c r="C32" s="3"/>
    </row>
    <row r="33" spans="3:3" x14ac:dyDescent="0.25">
      <c r="C33" s="3"/>
    </row>
    <row r="34" spans="3:3" x14ac:dyDescent="0.25">
      <c r="C34" s="3"/>
    </row>
  </sheetData>
  <sortState xmlns:xlrd2="http://schemas.microsoft.com/office/spreadsheetml/2017/richdata2" ref="B2:C14">
    <sortCondition descending="1" ref="C2:C14"/>
  </sortState>
  <hyperlinks>
    <hyperlink ref="B3" r:id="rId1" xr:uid="{00000000-0004-0000-1100-000000000000}"/>
    <hyperlink ref="B5" r:id="rId2" display="Feather River 2018-2019" xr:uid="{00000000-0004-0000-1100-000001000000}"/>
    <hyperlink ref="B4" r:id="rId3" xr:uid="{00000000-0004-0000-1100-000002000000}"/>
    <hyperlink ref="B7" r:id="rId4" xr:uid="{00000000-0004-0000-1100-000003000000}"/>
    <hyperlink ref="B2" r:id="rId5" xr:uid="{00000000-0004-0000-1100-000004000000}"/>
    <hyperlink ref="B9" r:id="rId6" xr:uid="{00000000-0004-0000-1100-000005000000}"/>
    <hyperlink ref="B12" r:id="rId7" xr:uid="{00000000-0004-0000-1100-000006000000}"/>
    <hyperlink ref="B14" r:id="rId8" display="Palo Verde (SR64)" xr:uid="{00000000-0004-0000-1100-000007000000}"/>
    <hyperlink ref="B11" r:id="rId9" display="Siskiyous 2016-2017" xr:uid="{00000000-0004-0000-1100-000008000000}"/>
    <hyperlink ref="B13" r:id="rId10" xr:uid="{00000000-0004-0000-1100-000009000000}"/>
    <hyperlink ref="B10" r:id="rId11" xr:uid="{00000000-0004-0000-1100-00000A000000}"/>
    <hyperlink ref="B6" r:id="rId12" display="Riverside 2018-2019" xr:uid="{00000000-0004-0000-1100-00000B000000}"/>
    <hyperlink ref="B8" r:id="rId13" xr:uid="{00000000-0004-0000-1100-00000C000000}"/>
  </hyperlinks>
  <pageMargins left="0.25" right="0.25" top="0.75" bottom="0.75" header="0.3" footer="0.3"/>
  <pageSetup scale="72" orientation="landscape" verticalDpi="1200" r:id="rId14"/>
  <drawing r:id="rId1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C34"/>
  <sheetViews>
    <sheetView topLeftCell="A31" workbookViewId="0">
      <selection activeCell="P36" sqref="A1:P36"/>
    </sheetView>
  </sheetViews>
  <sheetFormatPr defaultRowHeight="15" x14ac:dyDescent="0.25"/>
  <cols>
    <col min="1" max="1" width="4.7109375" customWidth="1"/>
    <col min="2" max="2" width="29.42578125" customWidth="1"/>
    <col min="3" max="3" width="25.28515625" customWidth="1"/>
  </cols>
  <sheetData>
    <row r="1" s="41" customFormat="1" ht="27" customHeight="1" x14ac:dyDescent="0.25"/>
    <row r="19" spans="1:3" ht="15.75" thickBot="1" x14ac:dyDescent="0.3"/>
    <row r="20" spans="1:3" ht="15.75" thickBot="1" x14ac:dyDescent="0.3">
      <c r="A20" s="41"/>
      <c r="B20" s="40" t="s">
        <v>29</v>
      </c>
      <c r="C20" s="52" t="s">
        <v>53</v>
      </c>
    </row>
    <row r="21" spans="1:3" x14ac:dyDescent="0.25">
      <c r="A21" s="33">
        <v>1</v>
      </c>
      <c r="B21" s="72" t="s">
        <v>12</v>
      </c>
      <c r="C21" s="75">
        <v>2.9</v>
      </c>
    </row>
    <row r="22" spans="1:3" x14ac:dyDescent="0.25">
      <c r="A22" s="32">
        <v>2</v>
      </c>
      <c r="B22" s="72" t="s">
        <v>0</v>
      </c>
      <c r="C22" s="75">
        <v>2</v>
      </c>
    </row>
    <row r="23" spans="1:3" x14ac:dyDescent="0.25">
      <c r="A23" s="32">
        <v>3</v>
      </c>
      <c r="B23" s="72" t="s">
        <v>11</v>
      </c>
      <c r="C23" s="75">
        <v>2</v>
      </c>
    </row>
    <row r="24" spans="1:3" x14ac:dyDescent="0.25">
      <c r="A24" s="32">
        <v>4</v>
      </c>
      <c r="B24" s="72" t="s">
        <v>10</v>
      </c>
      <c r="C24" s="75">
        <f>48/30</f>
        <v>1.6</v>
      </c>
    </row>
    <row r="25" spans="1:3" x14ac:dyDescent="0.25">
      <c r="A25" s="32">
        <v>5</v>
      </c>
      <c r="B25" s="72" t="s">
        <v>13</v>
      </c>
      <c r="C25" s="75">
        <v>1</v>
      </c>
    </row>
    <row r="26" spans="1:3" x14ac:dyDescent="0.25">
      <c r="A26" s="32">
        <v>6</v>
      </c>
      <c r="B26" s="73" t="s">
        <v>8</v>
      </c>
      <c r="C26" s="76">
        <v>0.5</v>
      </c>
    </row>
    <row r="27" spans="1:3" x14ac:dyDescent="0.25">
      <c r="A27" s="32">
        <v>7</v>
      </c>
      <c r="B27" s="72" t="s">
        <v>9</v>
      </c>
      <c r="C27" s="75">
        <v>0.4</v>
      </c>
    </row>
    <row r="28" spans="1:3" x14ac:dyDescent="0.25">
      <c r="A28" s="32">
        <v>8</v>
      </c>
      <c r="B28" s="72" t="s">
        <v>1</v>
      </c>
      <c r="C28" s="75">
        <v>0.2</v>
      </c>
    </row>
    <row r="29" spans="1:3" x14ac:dyDescent="0.25">
      <c r="A29" s="32">
        <v>9</v>
      </c>
      <c r="B29" s="72" t="s">
        <v>7</v>
      </c>
      <c r="C29" s="75" t="s">
        <v>55</v>
      </c>
    </row>
    <row r="30" spans="1:3" x14ac:dyDescent="0.25">
      <c r="A30" s="32">
        <v>10</v>
      </c>
      <c r="B30" s="72" t="s">
        <v>5</v>
      </c>
      <c r="C30" s="77" t="s">
        <v>94</v>
      </c>
    </row>
    <row r="31" spans="1:3" x14ac:dyDescent="0.25">
      <c r="A31" s="32">
        <v>11</v>
      </c>
      <c r="B31" s="72" t="s">
        <v>6</v>
      </c>
      <c r="C31" s="75" t="s">
        <v>56</v>
      </c>
    </row>
    <row r="32" spans="1:3" x14ac:dyDescent="0.25">
      <c r="A32" s="32">
        <v>12</v>
      </c>
      <c r="B32" s="72" t="s">
        <v>3</v>
      </c>
      <c r="C32" s="75" t="s">
        <v>56</v>
      </c>
    </row>
    <row r="33" spans="1:3" ht="15.75" thickBot="1" x14ac:dyDescent="0.3">
      <c r="A33" s="74">
        <v>13</v>
      </c>
      <c r="B33" s="72" t="s">
        <v>4</v>
      </c>
      <c r="C33" s="75" t="s">
        <v>56</v>
      </c>
    </row>
    <row r="34" spans="1:3" x14ac:dyDescent="0.25">
      <c r="B34" s="29" t="s">
        <v>54</v>
      </c>
      <c r="C34" s="1"/>
    </row>
  </sheetData>
  <sortState xmlns:xlrd2="http://schemas.microsoft.com/office/spreadsheetml/2017/richdata2" ref="B29:C33">
    <sortCondition descending="1" ref="C29:C33"/>
  </sortState>
  <hyperlinks>
    <hyperlink ref="B22" r:id="rId1" xr:uid="{00000000-0004-0000-1200-000000000000}"/>
    <hyperlink ref="B28" r:id="rId2" xr:uid="{00000000-0004-0000-1200-000001000000}"/>
    <hyperlink ref="B32" r:id="rId3" xr:uid="{00000000-0004-0000-1200-000002000000}"/>
    <hyperlink ref="B33" r:id="rId4" xr:uid="{00000000-0004-0000-1200-000003000000}"/>
    <hyperlink ref="B30" r:id="rId5" xr:uid="{00000000-0004-0000-1200-000004000000}"/>
    <hyperlink ref="B31" r:id="rId6" xr:uid="{00000000-0004-0000-1200-000005000000}"/>
    <hyperlink ref="B29" r:id="rId7" xr:uid="{00000000-0004-0000-1200-000006000000}"/>
    <hyperlink ref="B26" r:id="rId8" display="Palo Verde (SR64)" xr:uid="{00000000-0004-0000-1200-000007000000}"/>
    <hyperlink ref="B27" r:id="rId9" xr:uid="{00000000-0004-0000-1200-000008000000}"/>
    <hyperlink ref="B24" r:id="rId10" xr:uid="{00000000-0004-0000-1200-000009000000}"/>
    <hyperlink ref="B23" r:id="rId11" xr:uid="{00000000-0004-0000-1200-00000A000000}"/>
    <hyperlink ref="B21" r:id="rId12" xr:uid="{00000000-0004-0000-1200-00000B000000}"/>
    <hyperlink ref="B25" r:id="rId13" xr:uid="{00000000-0004-0000-1200-00000C000000}"/>
  </hyperlinks>
  <pageMargins left="0.25" right="0.25" top="0.75" bottom="0.75" header="0.3" footer="0.3"/>
  <pageSetup scale="71" orientation="landscape" verticalDpi="1200" r:id="rId14"/>
  <drawing r:id="rId15"/>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P37"/>
  <sheetViews>
    <sheetView topLeftCell="A4" workbookViewId="0">
      <selection activeCell="C21" sqref="A1:P21"/>
    </sheetView>
  </sheetViews>
  <sheetFormatPr defaultRowHeight="15" x14ac:dyDescent="0.25"/>
  <cols>
    <col min="1" max="1" width="4.7109375" customWidth="1"/>
    <col min="2" max="2" width="30.28515625" customWidth="1"/>
    <col min="3" max="3" width="25.28515625" customWidth="1"/>
    <col min="4" max="4" width="13.28515625" customWidth="1"/>
  </cols>
  <sheetData>
    <row r="1" spans="1:16" ht="15.75" thickBot="1" x14ac:dyDescent="0.3">
      <c r="B1" s="528" t="s">
        <v>57</v>
      </c>
      <c r="C1" s="528"/>
      <c r="D1" s="528"/>
      <c r="E1" s="528"/>
      <c r="F1" s="528"/>
      <c r="G1" s="528"/>
      <c r="H1" s="528"/>
      <c r="I1" s="528"/>
      <c r="J1" s="528"/>
      <c r="K1" s="528"/>
      <c r="L1" s="528"/>
      <c r="M1" s="528"/>
      <c r="N1" s="528"/>
      <c r="O1" s="528"/>
      <c r="P1" s="528"/>
    </row>
    <row r="2" spans="1:16" ht="15.75" thickBot="1" x14ac:dyDescent="0.3">
      <c r="B2" s="40" t="s">
        <v>29</v>
      </c>
      <c r="C2" s="52" t="s">
        <v>28</v>
      </c>
    </row>
    <row r="3" spans="1:16" x14ac:dyDescent="0.25">
      <c r="A3" s="33"/>
      <c r="B3" s="35" t="s">
        <v>68</v>
      </c>
      <c r="C3" s="9">
        <f>184934/250</f>
        <v>739.73599999999999</v>
      </c>
    </row>
    <row r="4" spans="1:16" x14ac:dyDescent="0.25">
      <c r="A4" s="32"/>
      <c r="B4" s="34" t="s">
        <v>59</v>
      </c>
      <c r="C4" s="48">
        <f>176128/250</f>
        <v>704.51199999999994</v>
      </c>
    </row>
    <row r="5" spans="1:16" x14ac:dyDescent="0.25">
      <c r="A5" s="32"/>
      <c r="B5" s="34" t="s">
        <v>67</v>
      </c>
      <c r="C5" s="48">
        <f>152146/250</f>
        <v>608.58399999999995</v>
      </c>
    </row>
    <row r="6" spans="1:16" x14ac:dyDescent="0.25">
      <c r="A6" s="32"/>
      <c r="B6" s="36" t="s">
        <v>71</v>
      </c>
      <c r="C6" s="39">
        <f>107438/177</f>
        <v>606.99435028248593</v>
      </c>
    </row>
    <row r="7" spans="1:16" x14ac:dyDescent="0.25">
      <c r="A7" s="32"/>
      <c r="B7" s="34" t="s">
        <v>66</v>
      </c>
      <c r="C7" s="7">
        <f>125171/250</f>
        <v>500.68400000000003</v>
      </c>
    </row>
    <row r="8" spans="1:16" x14ac:dyDescent="0.25">
      <c r="A8" s="32"/>
      <c r="B8" s="34" t="s">
        <v>60</v>
      </c>
      <c r="C8" s="48">
        <f>125171/250</f>
        <v>500.68400000000003</v>
      </c>
    </row>
    <row r="9" spans="1:16" x14ac:dyDescent="0.25">
      <c r="A9" s="32"/>
      <c r="B9" s="34" t="s">
        <v>65</v>
      </c>
      <c r="C9" s="7">
        <f>108127/250</f>
        <v>432.50799999999998</v>
      </c>
    </row>
    <row r="10" spans="1:16" x14ac:dyDescent="0.25">
      <c r="A10" s="32"/>
      <c r="B10" s="34" t="s">
        <v>64</v>
      </c>
      <c r="C10" s="48">
        <f>108127/250</f>
        <v>432.50799999999998</v>
      </c>
    </row>
    <row r="11" spans="1:16" x14ac:dyDescent="0.25">
      <c r="A11" s="32"/>
      <c r="B11" s="34" t="s">
        <v>63</v>
      </c>
      <c r="C11" s="48">
        <f>88956/250</f>
        <v>355.82400000000001</v>
      </c>
    </row>
    <row r="12" spans="1:16" x14ac:dyDescent="0.25">
      <c r="A12" s="32"/>
      <c r="B12" s="34" t="s">
        <v>69</v>
      </c>
      <c r="C12" s="7">
        <f>88956/250</f>
        <v>355.82400000000001</v>
      </c>
    </row>
    <row r="13" spans="1:16" x14ac:dyDescent="0.25">
      <c r="A13" s="32"/>
      <c r="B13" s="36" t="s">
        <v>70</v>
      </c>
      <c r="C13" s="39">
        <f>55493/177</f>
        <v>313.51977401129943</v>
      </c>
    </row>
    <row r="14" spans="1:16" x14ac:dyDescent="0.25">
      <c r="A14" s="32"/>
      <c r="B14" s="34" t="s">
        <v>61</v>
      </c>
      <c r="C14" s="48">
        <f>76844/250</f>
        <v>307.37599999999998</v>
      </c>
    </row>
    <row r="15" spans="1:16" x14ac:dyDescent="0.25">
      <c r="A15" s="32"/>
      <c r="B15" s="34" t="s">
        <v>72</v>
      </c>
      <c r="C15" s="7">
        <f>73185/250</f>
        <v>292.74</v>
      </c>
    </row>
    <row r="16" spans="1:16" x14ac:dyDescent="0.25">
      <c r="A16" s="32"/>
      <c r="B16" s="34" t="s">
        <v>62</v>
      </c>
      <c r="C16" s="48">
        <f>69700/250</f>
        <v>278.8</v>
      </c>
    </row>
    <row r="17" spans="1:4" x14ac:dyDescent="0.25">
      <c r="A17" s="32"/>
      <c r="B17" s="34" t="s">
        <v>73</v>
      </c>
      <c r="C17" s="48">
        <f>63220/250</f>
        <v>252.88</v>
      </c>
    </row>
    <row r="18" spans="1:4" ht="15.75" thickBot="1" x14ac:dyDescent="0.3">
      <c r="A18" s="32"/>
      <c r="B18" s="46" t="s">
        <v>74</v>
      </c>
      <c r="C18" s="17">
        <f>52011/250</f>
        <v>208.04400000000001</v>
      </c>
    </row>
    <row r="19" spans="1:4" x14ac:dyDescent="0.25">
      <c r="B19" s="29" t="s">
        <v>27</v>
      </c>
      <c r="C19" s="27"/>
    </row>
    <row r="20" spans="1:4" x14ac:dyDescent="0.25">
      <c r="B20" s="29" t="s">
        <v>58</v>
      </c>
    </row>
    <row r="22" spans="1:4" x14ac:dyDescent="0.25">
      <c r="B22" s="49"/>
      <c r="C22" s="50"/>
      <c r="D22" s="15"/>
    </row>
    <row r="23" spans="1:4" x14ac:dyDescent="0.25">
      <c r="B23" s="44"/>
      <c r="C23" s="45"/>
      <c r="D23" s="45"/>
    </row>
    <row r="24" spans="1:4" x14ac:dyDescent="0.25">
      <c r="B24" s="44"/>
      <c r="C24" s="51"/>
      <c r="D24" s="51"/>
    </row>
    <row r="25" spans="1:4" x14ac:dyDescent="0.25">
      <c r="B25" s="44"/>
      <c r="C25" s="3"/>
      <c r="D25" s="51"/>
    </row>
    <row r="26" spans="1:4" x14ac:dyDescent="0.25">
      <c r="B26" s="44"/>
      <c r="C26" s="51"/>
      <c r="D26" s="51"/>
    </row>
    <row r="27" spans="1:4" x14ac:dyDescent="0.25">
      <c r="B27" s="44"/>
      <c r="C27" s="3"/>
      <c r="D27" s="51"/>
    </row>
    <row r="28" spans="1:4" x14ac:dyDescent="0.25">
      <c r="B28" s="44"/>
      <c r="C28" s="3"/>
      <c r="D28" s="51"/>
    </row>
    <row r="29" spans="1:4" x14ac:dyDescent="0.25">
      <c r="B29" s="44"/>
      <c r="C29" s="51"/>
      <c r="D29" s="51"/>
    </row>
    <row r="30" spans="1:4" x14ac:dyDescent="0.25">
      <c r="B30" s="44"/>
      <c r="C30" s="3"/>
      <c r="D30" s="51"/>
    </row>
    <row r="31" spans="1:4" x14ac:dyDescent="0.25">
      <c r="B31" s="44"/>
      <c r="C31" s="51"/>
      <c r="D31" s="51"/>
    </row>
    <row r="32" spans="1:4" x14ac:dyDescent="0.25">
      <c r="B32" s="44"/>
      <c r="C32" s="3"/>
      <c r="D32" s="51"/>
    </row>
    <row r="33" spans="3:3" x14ac:dyDescent="0.25">
      <c r="C33" s="3"/>
    </row>
    <row r="34" spans="3:3" x14ac:dyDescent="0.25">
      <c r="C34" s="3"/>
    </row>
    <row r="35" spans="3:3" x14ac:dyDescent="0.25">
      <c r="C35" s="3"/>
    </row>
    <row r="36" spans="3:3" x14ac:dyDescent="0.25">
      <c r="C36" s="3"/>
    </row>
    <row r="37" spans="3:3" x14ac:dyDescent="0.25">
      <c r="C37" s="3"/>
    </row>
  </sheetData>
  <sortState xmlns:xlrd2="http://schemas.microsoft.com/office/spreadsheetml/2017/richdata2" ref="B2:C24">
    <sortCondition descending="1" ref="C2:C24"/>
  </sortState>
  <mergeCells count="1">
    <mergeCell ref="B1:P1"/>
  </mergeCells>
  <hyperlinks>
    <hyperlink ref="B13" r:id="rId1" display="Palo Verde (SR64)" xr:uid="{00000000-0004-0000-1300-000000000000}"/>
    <hyperlink ref="B6" r:id="rId2" display="Palo Verde (SR64)" xr:uid="{00000000-0004-0000-1300-000001000000}"/>
  </hyperlinks>
  <pageMargins left="0.25" right="0.25" top="0.75" bottom="0.75" header="0.3" footer="0.3"/>
  <pageSetup scale="71" orientation="landscape" verticalDpi="1200" r:id="rId3"/>
  <drawing r:id="rId4"/>
  <legacy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0:C41"/>
  <sheetViews>
    <sheetView zoomScaleNormal="100" workbookViewId="0">
      <selection activeCell="B36" sqref="B36"/>
    </sheetView>
  </sheetViews>
  <sheetFormatPr defaultColWidth="9.140625" defaultRowHeight="15" x14ac:dyDescent="0.2"/>
  <cols>
    <col min="1" max="1" width="4" style="78" customWidth="1"/>
    <col min="2" max="2" width="34.7109375" style="78" customWidth="1"/>
    <col min="3" max="3" width="13.42578125" style="78" customWidth="1"/>
    <col min="4" max="10" width="9.140625" style="78"/>
    <col min="11" max="11" width="30.7109375" style="78" customWidth="1"/>
    <col min="12" max="16384" width="9.140625" style="78"/>
  </cols>
  <sheetData>
    <row r="20" spans="1:3" ht="15.75" thickBot="1" x14ac:dyDescent="0.25"/>
    <row r="21" spans="1:3" ht="36" thickBot="1" x14ac:dyDescent="0.25">
      <c r="A21" s="124" t="s">
        <v>106</v>
      </c>
      <c r="B21" s="129" t="s">
        <v>29</v>
      </c>
      <c r="C21" s="129" t="s">
        <v>14</v>
      </c>
    </row>
    <row r="22" spans="1:3" ht="30" x14ac:dyDescent="0.2">
      <c r="A22" s="146">
        <v>1</v>
      </c>
      <c r="B22" s="226" t="s">
        <v>135</v>
      </c>
      <c r="C22" s="222">
        <v>231</v>
      </c>
    </row>
    <row r="23" spans="1:3" ht="30" x14ac:dyDescent="0.2">
      <c r="A23" s="147">
        <v>2</v>
      </c>
      <c r="B23" s="199" t="s">
        <v>131</v>
      </c>
      <c r="C23" s="223">
        <v>186</v>
      </c>
    </row>
    <row r="24" spans="1:3" ht="30" x14ac:dyDescent="0.2">
      <c r="A24" s="147">
        <v>3</v>
      </c>
      <c r="B24" s="198" t="s">
        <v>154</v>
      </c>
      <c r="C24" s="222">
        <v>174.9</v>
      </c>
    </row>
    <row r="25" spans="1:3" ht="30" x14ac:dyDescent="0.2">
      <c r="A25" s="147">
        <v>4</v>
      </c>
      <c r="B25" s="198" t="s">
        <v>152</v>
      </c>
      <c r="C25" s="223">
        <v>154.69999999999999</v>
      </c>
    </row>
    <row r="26" spans="1:3" ht="30" x14ac:dyDescent="0.2">
      <c r="A26" s="147">
        <v>5</v>
      </c>
      <c r="B26" s="198" t="s">
        <v>153</v>
      </c>
      <c r="C26" s="223">
        <v>154</v>
      </c>
    </row>
    <row r="27" spans="1:3" ht="33" customHeight="1" x14ac:dyDescent="0.2">
      <c r="A27" s="147">
        <v>6</v>
      </c>
      <c r="B27" s="198" t="s">
        <v>140</v>
      </c>
      <c r="C27" s="223">
        <v>151.9</v>
      </c>
    </row>
    <row r="28" spans="1:3" ht="33" customHeight="1" x14ac:dyDescent="0.2">
      <c r="A28" s="147">
        <v>7</v>
      </c>
      <c r="B28" s="199" t="s">
        <v>138</v>
      </c>
      <c r="C28" s="223">
        <v>151.9</v>
      </c>
    </row>
    <row r="29" spans="1:3" ht="33" customHeight="1" x14ac:dyDescent="0.2">
      <c r="A29" s="147">
        <v>8</v>
      </c>
      <c r="B29" s="201" t="s">
        <v>132</v>
      </c>
      <c r="C29" s="224">
        <v>146.1</v>
      </c>
    </row>
    <row r="30" spans="1:3" ht="33" customHeight="1" x14ac:dyDescent="0.2">
      <c r="A30" s="147">
        <v>9</v>
      </c>
      <c r="B30" s="201" t="s">
        <v>151</v>
      </c>
      <c r="C30" s="224">
        <v>127.2</v>
      </c>
    </row>
    <row r="31" spans="1:3" ht="33" customHeight="1" x14ac:dyDescent="0.2">
      <c r="A31" s="147">
        <v>10</v>
      </c>
      <c r="B31" s="205" t="s">
        <v>157</v>
      </c>
      <c r="C31" s="224">
        <v>124.7</v>
      </c>
    </row>
    <row r="32" spans="1:3" ht="33" customHeight="1" x14ac:dyDescent="0.2">
      <c r="A32" s="147">
        <v>11</v>
      </c>
      <c r="B32" s="198" t="s">
        <v>141</v>
      </c>
      <c r="C32" s="223">
        <v>116.3</v>
      </c>
    </row>
    <row r="33" spans="1:3" ht="30" x14ac:dyDescent="0.2">
      <c r="A33" s="258">
        <v>12</v>
      </c>
      <c r="B33" s="226" t="s">
        <v>139</v>
      </c>
      <c r="C33" s="222">
        <v>109.1</v>
      </c>
    </row>
    <row r="34" spans="1:3" ht="30" x14ac:dyDescent="0.2">
      <c r="A34" s="147">
        <v>13</v>
      </c>
      <c r="B34" s="201" t="s">
        <v>142</v>
      </c>
      <c r="C34" s="224">
        <v>103.7</v>
      </c>
    </row>
    <row r="35" spans="1:3" ht="30" x14ac:dyDescent="0.2">
      <c r="A35" s="313">
        <v>14</v>
      </c>
      <c r="B35" s="305" t="s">
        <v>181</v>
      </c>
      <c r="C35" s="314">
        <v>103.7</v>
      </c>
    </row>
    <row r="36" spans="1:3" ht="30" x14ac:dyDescent="0.2">
      <c r="A36" s="171">
        <v>15</v>
      </c>
      <c r="B36" s="212" t="s">
        <v>137</v>
      </c>
      <c r="C36" s="234">
        <v>103.7</v>
      </c>
    </row>
    <row r="37" spans="1:3" ht="30" x14ac:dyDescent="0.2">
      <c r="A37" s="147">
        <v>16</v>
      </c>
      <c r="B37" s="201" t="s">
        <v>134</v>
      </c>
      <c r="C37" s="224">
        <v>99.8</v>
      </c>
    </row>
    <row r="38" spans="1:3" ht="45" x14ac:dyDescent="0.2">
      <c r="A38" s="147">
        <v>17</v>
      </c>
      <c r="B38" s="201" t="s">
        <v>136</v>
      </c>
      <c r="C38" s="224">
        <v>99.8</v>
      </c>
    </row>
    <row r="39" spans="1:3" ht="48" customHeight="1" thickBot="1" x14ac:dyDescent="0.25">
      <c r="A39" s="170">
        <v>18</v>
      </c>
      <c r="B39" s="266" t="s">
        <v>159</v>
      </c>
      <c r="C39" s="225">
        <v>99.6</v>
      </c>
    </row>
    <row r="40" spans="1:3" ht="16.5" thickBot="1" x14ac:dyDescent="0.3">
      <c r="B40" s="143"/>
      <c r="C40" s="166"/>
    </row>
    <row r="41" spans="1:3" ht="16.5" thickBot="1" x14ac:dyDescent="0.3">
      <c r="B41" s="115" t="s">
        <v>100</v>
      </c>
      <c r="C41" s="167">
        <f>AVERAGE(C22:C39)</f>
        <v>135.45000000000002</v>
      </c>
    </row>
  </sheetData>
  <sortState xmlns:xlrd2="http://schemas.microsoft.com/office/spreadsheetml/2017/richdata2" ref="B22:C39">
    <sortCondition descending="1" ref="C21:C39"/>
  </sortState>
  <customSheetViews>
    <customSheetView guid="{2553490D-CEB8-4CB7-8490-7C9CCD5DDA4B}">
      <selection activeCell="B11" sqref="B11"/>
      <pageMargins left="0.7" right="0.7" top="0.75" bottom="0.75" header="0.3" footer="0.3"/>
    </customSheetView>
  </customSheetViews>
  <hyperlinks>
    <hyperlink ref="B23" r:id="rId1" display="Cabrillo Community College District (2019-2022)" xr:uid="{9EB271BF-F334-4232-9072-09ACDF95B3BD}"/>
    <hyperlink ref="B22" r:id="rId2" display="Gavilan Community College District (2018-2021)" xr:uid="{25344493-A72B-42CD-8E41-89AA8D3B0343}"/>
    <hyperlink ref="B27" r:id="rId3" display="Hartnell Community College District (2019-2022)" xr:uid="{BB1FA5AB-F739-4D40-86F0-C4790B8A6DAC}"/>
    <hyperlink ref="B37" r:id="rId4" display="Kern Community College District (2020-2023)" xr:uid="{FFD87859-15A5-440D-B480-E972A72C7560}"/>
    <hyperlink ref="B33" r:id="rId5" display="Merced Community College District (2018-2021)" xr:uid="{4549E942-D8EA-41C7-A5DF-9E6DE305C75C}"/>
    <hyperlink ref="B28" r:id="rId6" display="Monterey - Peninsula Community College District (2019-2022)" xr:uid="{60372225-6615-4A20-A5C6-4613ED59A690}"/>
    <hyperlink ref="B29" r:id="rId7" display="San Luis Obispo County Community College District (2021-2023)" xr:uid="{74C3AF28-C4B7-4B8A-966C-C7D75134867F}"/>
    <hyperlink ref="B36" r:id="rId8" display="State Center Community College District (2018-2021) " xr:uid="{31FA4FE3-3C49-4BCB-A39D-15178FC4CE08}"/>
    <hyperlink ref="B38" r:id="rId9" display="West Kern Community College District (Taft College) (2020-2023)" xr:uid="{7FE689EE-3D33-4768-BD70-B88FC3829AF2}"/>
    <hyperlink ref="B34" r:id="rId10" display="West Hills Community College District (2019-2022) " xr:uid="{F66B5357-A491-4D36-B27A-EDEB7A221704}"/>
    <hyperlink ref="B32" r:id="rId11" display="Yosemite Community College District (2020-2023) " xr:uid="{703E6E24-CE86-4DAC-BA5B-3A7E22DAB02D}"/>
    <hyperlink ref="C23" r:id="rId12" display="https://www.bestplaces.net/cost_of_living/city/california/aptos" xr:uid="{33FA1643-43C5-4D27-A7DD-701013D1C740}"/>
    <hyperlink ref="C39" r:id="rId13" display="https://www.bestplaces.net/cost_of_living/city/california/visalia" xr:uid="{F547D3C7-B829-40B0-8D53-856DE4EAE468}"/>
    <hyperlink ref="C22" r:id="rId14" display="https://www.bestplaces.net/cost_of_living/city/california/gilroy" xr:uid="{AC797B77-AE26-48E1-BFC1-941ABA8A9B1A}"/>
    <hyperlink ref="C27" r:id="rId15" display="https://www.bestplaces.net/cost_of_living/city/california/salinas" xr:uid="{8384AE28-33F2-4598-91A6-39A2BB1EE722}"/>
    <hyperlink ref="C37" r:id="rId16" display="https://www.bestplaces.net/cost_of_living/city/california/bakersfield" xr:uid="{1BAB9001-8DC4-49D1-8857-3CAD45A588CD}"/>
    <hyperlink ref="C33" r:id="rId17" display="https://www.bestplaces.net/cost_of_living/city/california/merced" xr:uid="{A7E28E32-1F2D-4DB3-A37F-693809A5B4CB}"/>
    <hyperlink ref="C28" r:id="rId18" display="https://www.bestplaces.net/cost_of_living/city/california/monterey" xr:uid="{6858C66A-7BCE-4F8A-A655-7E1B1D166195}"/>
    <hyperlink ref="C29" r:id="rId19" display="https://www.bestplaces.net/cost_of_living/city/california/san_luis_obispo" xr:uid="{98F584B8-10FB-4A49-87F1-67AF13FD4C69}"/>
    <hyperlink ref="C36" r:id="rId20" display="https://www.bestplaces.net/cost_of_living/city/california/fresno" xr:uid="{98A6D8C4-83A3-4159-8EC6-B737B706D496}"/>
    <hyperlink ref="C38" r:id="rId21" display="https://www.bestplaces.net/cost_of_living/city/california/taft" xr:uid="{E28EAEAC-6715-446C-87B2-F4816446C985}"/>
    <hyperlink ref="C34" r:id="rId22" display="https://www.bestplaces.net/cost_of_living/city/california/coalinga" xr:uid="{9442702F-30F5-49D6-BB4A-AC0BAB9C4458}"/>
    <hyperlink ref="C32" r:id="rId23" display="https://www.bestplaces.net/cost_of_living/city/california/modesto" xr:uid="{23C90037-53E2-4523-AF74-8C731F650B02}"/>
    <hyperlink ref="B25" r:id="rId24" display="Allan Hancock CCD (2021-2024)" xr:uid="{843F4614-37D7-420E-82C4-C3FE57D2B2FD}"/>
    <hyperlink ref="B26" r:id="rId25" display="Ventura" xr:uid="{5B7ABF25-8710-4A72-8208-0C3AB832DBB0}"/>
    <hyperlink ref="B30" r:id="rId26" display="Los Rios" xr:uid="{9CA3D089-B276-4336-9E77-A04B707F6DEF}"/>
    <hyperlink ref="C25" r:id="rId27" display="https://www.bestplaces.net/cost_of_living/city/california/santa_maria" xr:uid="{07CB102F-909D-49AC-9AEF-23A12B950FA8}"/>
    <hyperlink ref="C30" r:id="rId28" display="https://www.bestplaces.net/cost_of_living/city/california/sacramento" xr:uid="{7B8FCA87-E3C8-45FB-8134-AB06B1211306}"/>
    <hyperlink ref="C26" r:id="rId29" display="https://www.bestplaces.net/cost_of_living/city/california/camarillo" xr:uid="{3967E6CD-574F-4AEC-8C3C-AFA7DE78F575}"/>
    <hyperlink ref="B31" r:id="rId30" display="San Joaquin Delta (2024-2027)" xr:uid="{A911155E-4274-4DFF-8E15-4848D8B9FF42}"/>
    <hyperlink ref="C31" r:id="rId31" display="https://www.bestplaces.net/cost_of_living/city/california/stockton" xr:uid="{66EB54D1-BCB6-4D32-B4A7-5FC6112B98A8}"/>
    <hyperlink ref="B24" r:id="rId32" display="Contra Costa Community College District (2019-2022)" xr:uid="{E1EF087C-30FC-4B1D-9E15-7CBB386C5F67}"/>
    <hyperlink ref="C24" r:id="rId33" display="https://www.bestplaces.net/cost_of_living/city/california/martinez" xr:uid="{AD4384DC-6B53-4DD2-A78D-EA1F9FD0C323}"/>
    <hyperlink ref="B39" r:id="rId34" display="College of the Sequoias (2021-2024)" xr:uid="{D23AAC56-CB27-441F-B552-E96B1DCD608B}"/>
    <hyperlink ref="B35" r:id="rId35" display="State Center Community College District (2018-2021) " xr:uid="{EBE2BB49-B78B-469A-AE84-701FB4C63829}"/>
    <hyperlink ref="C35" r:id="rId36" display="https://www.bestplaces.net/cost_of_living/city/california/fresno" xr:uid="{321C4652-2353-4149-8DDC-DE6FEE194D59}"/>
  </hyperlinks>
  <pageMargins left="0.7" right="0.7" top="0.75" bottom="0.75" header="0.3" footer="0.3"/>
  <pageSetup scale="54" orientation="landscape" r:id="rId37"/>
  <drawing r:id="rId38"/>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23:C55"/>
  <sheetViews>
    <sheetView zoomScaleNormal="100" workbookViewId="0">
      <selection activeCell="C51" sqref="C51"/>
    </sheetView>
  </sheetViews>
  <sheetFormatPr defaultColWidth="9.140625" defaultRowHeight="15" x14ac:dyDescent="0.2"/>
  <cols>
    <col min="1" max="1" width="4.7109375" style="86" customWidth="1"/>
    <col min="2" max="2" width="47.42578125" style="78" customWidth="1"/>
    <col min="3" max="3" width="26.5703125" style="116" customWidth="1"/>
    <col min="4" max="4" width="26.5703125" style="78" customWidth="1"/>
    <col min="5" max="5" width="25.85546875" style="78" customWidth="1"/>
    <col min="6" max="16384" width="9.140625" style="78"/>
  </cols>
  <sheetData>
    <row r="23" spans="1:3" ht="15.75" thickBot="1" x14ac:dyDescent="0.25"/>
    <row r="24" spans="1:3" ht="36" thickBot="1" x14ac:dyDescent="0.25">
      <c r="A24" s="125" t="s">
        <v>106</v>
      </c>
      <c r="B24" s="402" t="s">
        <v>29</v>
      </c>
      <c r="C24" s="402" t="s">
        <v>18</v>
      </c>
    </row>
    <row r="25" spans="1:3" ht="30" x14ac:dyDescent="0.2">
      <c r="A25" s="146">
        <v>1</v>
      </c>
      <c r="B25" s="454" t="s">
        <v>134</v>
      </c>
      <c r="C25" s="455">
        <v>89080.98</v>
      </c>
    </row>
    <row r="26" spans="1:3" x14ac:dyDescent="0.2">
      <c r="A26" s="147">
        <v>2</v>
      </c>
      <c r="B26" s="456" t="s">
        <v>159</v>
      </c>
      <c r="C26" s="294">
        <v>77769.240000000005</v>
      </c>
    </row>
    <row r="27" spans="1:3" ht="30" x14ac:dyDescent="0.2">
      <c r="A27" s="147">
        <v>3</v>
      </c>
      <c r="B27" s="456" t="s">
        <v>141</v>
      </c>
      <c r="C27" s="410">
        <v>75979</v>
      </c>
    </row>
    <row r="28" spans="1:3" ht="30" x14ac:dyDescent="0.2">
      <c r="A28" s="147">
        <v>4</v>
      </c>
      <c r="B28" s="457" t="s">
        <v>181</v>
      </c>
      <c r="C28" s="408">
        <v>73398.782000000007</v>
      </c>
    </row>
    <row r="29" spans="1:3" x14ac:dyDescent="0.2">
      <c r="A29" s="147">
        <v>5</v>
      </c>
      <c r="B29" s="456" t="s">
        <v>157</v>
      </c>
      <c r="C29" s="294">
        <v>72014</v>
      </c>
    </row>
    <row r="30" spans="1:3" ht="30" x14ac:dyDescent="0.2">
      <c r="A30" s="147">
        <v>6</v>
      </c>
      <c r="B30" s="458" t="s">
        <v>137</v>
      </c>
      <c r="C30" s="409">
        <v>71054</v>
      </c>
    </row>
    <row r="31" spans="1:3" ht="30" x14ac:dyDescent="0.2">
      <c r="A31" s="147">
        <v>7</v>
      </c>
      <c r="B31" s="456" t="s">
        <v>140</v>
      </c>
      <c r="C31" s="294">
        <v>70608</v>
      </c>
    </row>
    <row r="32" spans="1:3" ht="30" x14ac:dyDescent="0.2">
      <c r="A32" s="147">
        <v>8</v>
      </c>
      <c r="B32" s="456" t="s">
        <v>131</v>
      </c>
      <c r="C32" s="294">
        <v>70350</v>
      </c>
    </row>
    <row r="33" spans="1:3" ht="30" x14ac:dyDescent="0.2">
      <c r="A33" s="147">
        <v>9</v>
      </c>
      <c r="B33" s="456" t="s">
        <v>142</v>
      </c>
      <c r="C33" s="294">
        <v>69954</v>
      </c>
    </row>
    <row r="34" spans="1:3" ht="30" x14ac:dyDescent="0.2">
      <c r="A34" s="147">
        <v>10</v>
      </c>
      <c r="B34" s="456" t="s">
        <v>139</v>
      </c>
      <c r="C34" s="294">
        <v>69375</v>
      </c>
    </row>
    <row r="35" spans="1:3" ht="30" x14ac:dyDescent="0.2">
      <c r="A35" s="147">
        <v>11</v>
      </c>
      <c r="B35" s="456" t="s">
        <v>132</v>
      </c>
      <c r="C35" s="294">
        <v>68383</v>
      </c>
    </row>
    <row r="36" spans="1:3" ht="30" x14ac:dyDescent="0.2">
      <c r="A36" s="147">
        <v>12</v>
      </c>
      <c r="B36" s="456" t="s">
        <v>154</v>
      </c>
      <c r="C36" s="294">
        <v>68136</v>
      </c>
    </row>
    <row r="37" spans="1:3" ht="30" x14ac:dyDescent="0.2">
      <c r="A37" s="147">
        <v>13</v>
      </c>
      <c r="B37" s="456" t="s">
        <v>135</v>
      </c>
      <c r="C37" s="294">
        <v>67466.2</v>
      </c>
    </row>
    <row r="38" spans="1:3" ht="30" x14ac:dyDescent="0.2">
      <c r="A38" s="147">
        <v>14</v>
      </c>
      <c r="B38" s="456" t="s">
        <v>136</v>
      </c>
      <c r="C38" s="294">
        <v>66875</v>
      </c>
    </row>
    <row r="39" spans="1:3" x14ac:dyDescent="0.2">
      <c r="A39" s="147">
        <v>15</v>
      </c>
      <c r="B39" s="456" t="s">
        <v>152</v>
      </c>
      <c r="C39" s="294">
        <v>66760</v>
      </c>
    </row>
    <row r="40" spans="1:3" ht="30" x14ac:dyDescent="0.2">
      <c r="A40" s="147">
        <v>16</v>
      </c>
      <c r="B40" s="456" t="s">
        <v>138</v>
      </c>
      <c r="C40" s="294">
        <v>63492</v>
      </c>
    </row>
    <row r="41" spans="1:3" x14ac:dyDescent="0.2">
      <c r="A41" s="147">
        <v>17</v>
      </c>
      <c r="B41" s="456" t="s">
        <v>153</v>
      </c>
      <c r="C41" s="294">
        <v>61599</v>
      </c>
    </row>
    <row r="42" spans="1:3" ht="34.5" customHeight="1" thickBot="1" x14ac:dyDescent="0.25">
      <c r="A42" s="148">
        <v>18</v>
      </c>
      <c r="B42" s="456" t="s">
        <v>151</v>
      </c>
      <c r="C42" s="411">
        <v>55958</v>
      </c>
    </row>
    <row r="43" spans="1:3" ht="15.75" thickBot="1" x14ac:dyDescent="0.25">
      <c r="A43" s="78"/>
      <c r="C43" s="78"/>
    </row>
    <row r="44" spans="1:3" ht="16.5" thickBot="1" x14ac:dyDescent="0.3">
      <c r="B44" s="115" t="s">
        <v>109</v>
      </c>
      <c r="C44" s="117">
        <f>AVERAGE(C25:C42)</f>
        <v>69902.900111111114</v>
      </c>
    </row>
    <row r="45" spans="1:3" ht="16.5" thickBot="1" x14ac:dyDescent="0.3">
      <c r="B45" s="83" t="s">
        <v>110</v>
      </c>
      <c r="C45" s="120">
        <f>MEDIAN(C25:C42)</f>
        <v>69664.5</v>
      </c>
    </row>
    <row r="46" spans="1:3" ht="16.5" thickBot="1" x14ac:dyDescent="0.3">
      <c r="B46" s="84"/>
      <c r="C46" s="133"/>
    </row>
    <row r="47" spans="1:3" s="369" customFormat="1" ht="32.25" thickBot="1" x14ac:dyDescent="0.3">
      <c r="A47" s="368"/>
      <c r="B47" s="383" t="s">
        <v>176</v>
      </c>
      <c r="C47" s="384">
        <f>C30-C44</f>
        <v>1151.0998888888862</v>
      </c>
    </row>
    <row r="48" spans="1:3" s="369" customFormat="1" ht="32.25" thickBot="1" x14ac:dyDescent="0.3">
      <c r="A48" s="368"/>
      <c r="B48" s="385" t="s">
        <v>177</v>
      </c>
      <c r="C48" s="384">
        <f>C30-C45</f>
        <v>1389.5</v>
      </c>
    </row>
    <row r="49" spans="1:3" ht="15.75" thickBot="1" x14ac:dyDescent="0.25">
      <c r="B49" s="168" t="s">
        <v>88</v>
      </c>
      <c r="C49" s="169">
        <f>-(C47/C30)</f>
        <v>-1.6200353096080252E-2</v>
      </c>
    </row>
    <row r="50" spans="1:3" ht="15.75" thickBot="1" x14ac:dyDescent="0.25">
      <c r="B50" s="168" t="s">
        <v>89</v>
      </c>
      <c r="C50" s="169">
        <f>-(C48/C30)</f>
        <v>-1.955554930053199E-2</v>
      </c>
    </row>
    <row r="51" spans="1:3" ht="15.75" thickBot="1" x14ac:dyDescent="0.25">
      <c r="B51" s="370"/>
      <c r="C51" s="371"/>
    </row>
    <row r="52" spans="1:3" s="369" customFormat="1" ht="32.25" thickBot="1" x14ac:dyDescent="0.3">
      <c r="A52" s="368"/>
      <c r="B52" s="386" t="s">
        <v>182</v>
      </c>
      <c r="C52" s="447">
        <f>C28-C44</f>
        <v>3495.8818888888927</v>
      </c>
    </row>
    <row r="53" spans="1:3" s="369" customFormat="1" ht="32.25" thickBot="1" x14ac:dyDescent="0.3">
      <c r="A53" s="368"/>
      <c r="B53" s="386" t="s">
        <v>183</v>
      </c>
      <c r="C53" s="448">
        <f>C28-C45</f>
        <v>3734.2820000000065</v>
      </c>
    </row>
    <row r="54" spans="1:3" ht="15.75" thickBot="1" x14ac:dyDescent="0.25">
      <c r="B54" s="168" t="s">
        <v>88</v>
      </c>
      <c r="C54" s="169">
        <f>-(C52/C28)</f>
        <v>-4.7628608999109721E-2</v>
      </c>
    </row>
    <row r="55" spans="1:3" ht="15.75" thickBot="1" x14ac:dyDescent="0.25">
      <c r="B55" s="168" t="s">
        <v>89</v>
      </c>
      <c r="C55" s="169">
        <f>-(C53/C28)</f>
        <v>-5.0876620813680613E-2</v>
      </c>
    </row>
  </sheetData>
  <sortState xmlns:xlrd2="http://schemas.microsoft.com/office/spreadsheetml/2017/richdata2" ref="B25:C42">
    <sortCondition descending="1" ref="C24:C42"/>
  </sortState>
  <customSheetViews>
    <customSheetView guid="{2553490D-CEB8-4CB7-8490-7C9CCD5DDA4B}">
      <selection activeCell="B14" sqref="B14"/>
      <pageMargins left="0.7" right="0.7" top="0.75" bottom="0.75" header="0.3" footer="0.3"/>
    </customSheetView>
  </customSheetViews>
  <hyperlinks>
    <hyperlink ref="B32" r:id="rId1" display="Cabrillo Community College District (2019-2022)" xr:uid="{D7D4CDD5-DD58-4F7F-BEAE-991D106EB756}"/>
    <hyperlink ref="B26" r:id="rId2" display="College of the Sequoias (2021-2024)" xr:uid="{E0E65A72-53DF-4F06-8904-7929F3D28D0B}"/>
    <hyperlink ref="B37" r:id="rId3" display="Gavilan Community College District (2018-2021)" xr:uid="{E5C16007-076A-450B-9EAB-672574BD9140}"/>
    <hyperlink ref="B31" r:id="rId4" display="Hartnell Community College District (2019-2022)" xr:uid="{35F3CAE3-8A44-4F6F-8504-2188588C95E4}"/>
    <hyperlink ref="B25" r:id="rId5" display="Kern Community College District (2020-2023)" xr:uid="{E105DADE-51FD-4F2F-BB5C-1229B2FDD021}"/>
    <hyperlink ref="B34" r:id="rId6" display="Merced Community College District (2018-2021)" xr:uid="{2D2817F8-37C0-4909-A6E5-E997517307B9}"/>
    <hyperlink ref="B40" r:id="rId7" display="Monterey - Peninsula Community College District (2019-2022)" xr:uid="{3C8E6E84-1A9B-4892-BC49-7FD9A34A1449}"/>
    <hyperlink ref="B35" r:id="rId8" display="San Luis Obispo County Community College District (2021-2023)" xr:uid="{41BC9637-724C-4423-94D8-626BE47FAF90}"/>
    <hyperlink ref="B30" r:id="rId9" display="State Center Community College District (2018-2021) " xr:uid="{EF195F79-1F0A-46CE-8EBE-87BC5C586144}"/>
    <hyperlink ref="B38" r:id="rId10" display="West Kern Community College District (Taft College) (2020-2023)" xr:uid="{259AD2A5-B2DC-4A69-9BDA-26A879562366}"/>
    <hyperlink ref="B33" r:id="rId11" display="West Hills Community College District (2019-2022) " xr:uid="{F0565360-A691-4FC9-9A78-862AA0E76EBB}"/>
    <hyperlink ref="B27" r:id="rId12" display="Yosemite Community College District (2020-2023) " xr:uid="{51CDFF82-54C9-4466-9688-3E2600D5C42C}"/>
    <hyperlink ref="B39" r:id="rId13" display="Allan Hancock CCD (2021-2024)" xr:uid="{82675CC0-AF25-4177-B33E-5B62B7BEAD1E}"/>
    <hyperlink ref="B41" r:id="rId14" display="Ventura" xr:uid="{AAAE9404-916B-40B5-9FDA-ADFA7038DB80}"/>
    <hyperlink ref="B42" r:id="rId15" display="Los Rios" xr:uid="{676277A4-A918-47AE-8463-D1DB37A91172}"/>
    <hyperlink ref="B36" r:id="rId16" display="Contra Costa Community College District (2019-2022)" xr:uid="{7F1BBB67-A6A4-47B6-A6E3-5BC3DAAAE6BA}"/>
    <hyperlink ref="B29" r:id="rId17" display="San Joaquin Delta (2024-2027)" xr:uid="{08BC0EB7-AEB3-4653-A36A-579C6619287E}"/>
    <hyperlink ref="B28" r:id="rId18" display="State Center Community College District (2018-2021) " xr:uid="{EF092B70-0388-4E9F-BA77-B12935ED2933}"/>
  </hyperlinks>
  <pageMargins left="0.25" right="0.25" top="0.75" bottom="0.75" header="0.3" footer="0.3"/>
  <pageSetup scale="48" orientation="landscape" r:id="rId19"/>
  <drawing r:id="rId20"/>
  <tableParts count="1">
    <tablePart r:id="rId2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27:E59"/>
  <sheetViews>
    <sheetView zoomScaleNormal="100" workbookViewId="0">
      <selection activeCell="D57" sqref="D57"/>
    </sheetView>
  </sheetViews>
  <sheetFormatPr defaultColWidth="9.140625" defaultRowHeight="15" x14ac:dyDescent="0.2"/>
  <cols>
    <col min="1" max="1" width="4.28515625" style="78" customWidth="1"/>
    <col min="2" max="2" width="48.42578125" style="78" customWidth="1"/>
    <col min="3" max="4" width="29.85546875" style="78" customWidth="1"/>
    <col min="5" max="16384" width="9.140625" style="78"/>
  </cols>
  <sheetData>
    <row r="27" spans="1:3" ht="15.75" thickBot="1" x14ac:dyDescent="0.25"/>
    <row r="28" spans="1:3" ht="36" thickBot="1" x14ac:dyDescent="0.25">
      <c r="A28" s="128" t="s">
        <v>106</v>
      </c>
      <c r="B28" s="404" t="s">
        <v>2</v>
      </c>
      <c r="C28" s="402" t="s">
        <v>101</v>
      </c>
    </row>
    <row r="29" spans="1:3" x14ac:dyDescent="0.2">
      <c r="A29" s="147">
        <v>1</v>
      </c>
      <c r="B29" s="451" t="s">
        <v>134</v>
      </c>
      <c r="C29" s="459">
        <v>95412.68</v>
      </c>
    </row>
    <row r="30" spans="1:3" x14ac:dyDescent="0.2">
      <c r="A30" s="147">
        <v>2</v>
      </c>
      <c r="B30" s="452" t="s">
        <v>159</v>
      </c>
      <c r="C30" s="403">
        <v>88544.29</v>
      </c>
    </row>
    <row r="31" spans="1:3" ht="30" x14ac:dyDescent="0.2">
      <c r="A31" s="170">
        <v>3</v>
      </c>
      <c r="B31" s="340" t="s">
        <v>181</v>
      </c>
      <c r="C31" s="344">
        <f>(75938 *3.3%)+75938</f>
        <v>78443.953999999998</v>
      </c>
    </row>
    <row r="32" spans="1:3" ht="30" x14ac:dyDescent="0.2">
      <c r="A32" s="147">
        <v>4</v>
      </c>
      <c r="B32" s="452" t="s">
        <v>141</v>
      </c>
      <c r="C32" s="403">
        <v>75979</v>
      </c>
    </row>
    <row r="33" spans="1:5" ht="30" x14ac:dyDescent="0.2">
      <c r="A33" s="147">
        <v>5</v>
      </c>
      <c r="B33" s="348" t="s">
        <v>137</v>
      </c>
      <c r="C33" s="352">
        <v>75938</v>
      </c>
    </row>
    <row r="34" spans="1:5" ht="30" x14ac:dyDescent="0.2">
      <c r="A34" s="147">
        <v>6</v>
      </c>
      <c r="B34" s="452" t="s">
        <v>142</v>
      </c>
      <c r="C34" s="403">
        <v>75535</v>
      </c>
    </row>
    <row r="35" spans="1:5" ht="30" x14ac:dyDescent="0.2">
      <c r="A35" s="147">
        <v>7</v>
      </c>
      <c r="B35" s="452" t="s">
        <v>154</v>
      </c>
      <c r="C35" s="403">
        <v>75012</v>
      </c>
    </row>
    <row r="36" spans="1:5" ht="30" x14ac:dyDescent="0.2">
      <c r="A36" s="147">
        <v>8</v>
      </c>
      <c r="B36" s="452" t="s">
        <v>140</v>
      </c>
      <c r="C36" s="403">
        <v>74431</v>
      </c>
    </row>
    <row r="37" spans="1:5" ht="30" x14ac:dyDescent="0.2">
      <c r="A37" s="147">
        <v>9</v>
      </c>
      <c r="B37" s="452" t="s">
        <v>138</v>
      </c>
      <c r="C37" s="403">
        <v>73964</v>
      </c>
    </row>
    <row r="38" spans="1:5" ht="30" x14ac:dyDescent="0.2">
      <c r="A38" s="147">
        <v>10</v>
      </c>
      <c r="B38" s="452" t="s">
        <v>136</v>
      </c>
      <c r="C38" s="403">
        <v>73683</v>
      </c>
    </row>
    <row r="39" spans="1:5" ht="30" x14ac:dyDescent="0.2">
      <c r="A39" s="147">
        <v>11</v>
      </c>
      <c r="B39" s="317" t="s">
        <v>131</v>
      </c>
      <c r="C39" s="322">
        <v>72628</v>
      </c>
    </row>
    <row r="40" spans="1:5" ht="30" x14ac:dyDescent="0.2">
      <c r="A40" s="147">
        <v>12</v>
      </c>
      <c r="B40" s="452" t="s">
        <v>139</v>
      </c>
      <c r="C40" s="460">
        <v>72387</v>
      </c>
    </row>
    <row r="41" spans="1:5" ht="26.25" customHeight="1" x14ac:dyDescent="0.2">
      <c r="A41" s="147">
        <v>13</v>
      </c>
      <c r="B41" s="452" t="s">
        <v>157</v>
      </c>
      <c r="C41" s="403">
        <v>72014</v>
      </c>
    </row>
    <row r="42" spans="1:5" ht="30" x14ac:dyDescent="0.2">
      <c r="A42" s="147">
        <v>14</v>
      </c>
      <c r="B42" s="452" t="s">
        <v>135</v>
      </c>
      <c r="C42" s="403">
        <v>71881.570000000007</v>
      </c>
    </row>
    <row r="43" spans="1:5" ht="30" x14ac:dyDescent="0.2">
      <c r="A43" s="147">
        <v>15</v>
      </c>
      <c r="B43" s="452" t="s">
        <v>132</v>
      </c>
      <c r="C43" s="403">
        <v>71789</v>
      </c>
    </row>
    <row r="44" spans="1:5" x14ac:dyDescent="0.2">
      <c r="A44" s="147">
        <v>16</v>
      </c>
      <c r="B44" s="452" t="s">
        <v>152</v>
      </c>
      <c r="C44" s="403">
        <v>71099</v>
      </c>
    </row>
    <row r="45" spans="1:5" ht="30" x14ac:dyDescent="0.2">
      <c r="A45" s="147">
        <v>17</v>
      </c>
      <c r="B45" s="452" t="s">
        <v>151</v>
      </c>
      <c r="C45" s="403">
        <v>61911</v>
      </c>
    </row>
    <row r="46" spans="1:5" ht="15.75" thickBot="1" x14ac:dyDescent="0.25">
      <c r="A46" s="148">
        <v>18</v>
      </c>
      <c r="B46" s="452" t="s">
        <v>153</v>
      </c>
      <c r="C46" s="403">
        <v>61599</v>
      </c>
    </row>
    <row r="47" spans="1:5" ht="15.75" thickBot="1" x14ac:dyDescent="0.25">
      <c r="B47" s="90"/>
      <c r="C47" s="85"/>
    </row>
    <row r="48" spans="1:5" ht="16.5" thickBot="1" x14ac:dyDescent="0.3">
      <c r="B48" s="115" t="s">
        <v>105</v>
      </c>
      <c r="C48" s="117">
        <f>AVERAGE(C29:C46)</f>
        <v>74569.527444444437</v>
      </c>
      <c r="E48" s="126"/>
    </row>
    <row r="49" spans="2:3" ht="16.5" thickBot="1" x14ac:dyDescent="0.3">
      <c r="B49" s="115" t="s">
        <v>99</v>
      </c>
      <c r="C49" s="117">
        <f>MEDIAN(C29:C46)</f>
        <v>73823.5</v>
      </c>
    </row>
    <row r="50" spans="2:3" ht="16.5" thickBot="1" x14ac:dyDescent="0.3">
      <c r="B50" s="84"/>
      <c r="C50" s="133"/>
    </row>
    <row r="51" spans="2:3" ht="17.25" customHeight="1" thickBot="1" x14ac:dyDescent="0.3">
      <c r="B51" s="383" t="s">
        <v>176</v>
      </c>
      <c r="C51" s="388">
        <f>C33-C48</f>
        <v>1368.4725555555633</v>
      </c>
    </row>
    <row r="52" spans="2:3" ht="32.25" thickBot="1" x14ac:dyDescent="0.25">
      <c r="B52" s="406" t="s">
        <v>177</v>
      </c>
      <c r="C52" s="405">
        <f>C33-C49</f>
        <v>2114.5</v>
      </c>
    </row>
    <row r="53" spans="2:3" ht="15.75" thickBot="1" x14ac:dyDescent="0.25">
      <c r="B53" s="168" t="s">
        <v>88</v>
      </c>
      <c r="C53" s="169">
        <f>-(C51/C33)</f>
        <v>-1.8020919112375404E-2</v>
      </c>
    </row>
    <row r="54" spans="2:3" ht="15.75" thickBot="1" x14ac:dyDescent="0.25">
      <c r="B54" s="168" t="s">
        <v>89</v>
      </c>
      <c r="C54" s="169">
        <f>-(C52/C33)</f>
        <v>-2.7845084147594089E-2</v>
      </c>
    </row>
    <row r="55" spans="2:3" ht="15.75" thickBot="1" x14ac:dyDescent="0.25">
      <c r="B55" s="370"/>
    </row>
    <row r="56" spans="2:3" ht="32.25" thickBot="1" x14ac:dyDescent="0.3">
      <c r="B56" s="386" t="s">
        <v>182</v>
      </c>
      <c r="C56" s="387">
        <f>C31-C48</f>
        <v>3874.4265555555612</v>
      </c>
    </row>
    <row r="57" spans="2:3" ht="32.25" thickBot="1" x14ac:dyDescent="0.3">
      <c r="B57" s="386" t="s">
        <v>183</v>
      </c>
      <c r="C57" s="387">
        <f>C31-C49</f>
        <v>4620.4539999999979</v>
      </c>
    </row>
    <row r="58" spans="2:3" ht="15.75" thickBot="1" x14ac:dyDescent="0.25">
      <c r="B58" s="168" t="s">
        <v>88</v>
      </c>
      <c r="C58" s="169">
        <f>-(C56/C31)</f>
        <v>-4.9391015597652833E-2</v>
      </c>
    </row>
    <row r="59" spans="2:3" ht="15.75" thickBot="1" x14ac:dyDescent="0.25">
      <c r="B59" s="168" t="s">
        <v>89</v>
      </c>
      <c r="C59" s="169">
        <f>-(C57/C31)</f>
        <v>-5.8901339929907127E-2</v>
      </c>
    </row>
  </sheetData>
  <sortState xmlns:xlrd2="http://schemas.microsoft.com/office/spreadsheetml/2017/richdata2" ref="B29:C46">
    <sortCondition descending="1" ref="C28:C46"/>
  </sortState>
  <hyperlinks>
    <hyperlink ref="B39" r:id="rId1" display="Cabrillo Community College District (2019-2022)" xr:uid="{EB0CB240-3AAE-4975-8A5A-5F2FC4FA33EB}"/>
    <hyperlink ref="B30" r:id="rId2" display="College of the Sequoias (2021-2024)" xr:uid="{7AC23569-B0A9-4E04-959D-5CBE0CEB69A8}"/>
    <hyperlink ref="B42" r:id="rId3" display="Gavilan Community College District (2018-2021)" xr:uid="{FC4B203C-2FA7-459D-A118-D8B0F589A8EB}"/>
    <hyperlink ref="B36" r:id="rId4" display="Hartnell Community College District (2019-2022)" xr:uid="{BF085E8E-63FD-4F85-9A9A-96EC0D67C2B9}"/>
    <hyperlink ref="B29" r:id="rId5" display="Kern Community College District (2020-2023)" xr:uid="{70A1FE8C-3CDA-436F-A758-6184C56EE937}"/>
    <hyperlink ref="B40" r:id="rId6" display="Merced Community College District (2018-2021)" xr:uid="{D213B657-7A2E-49EE-9D3A-DFB938CEA96A}"/>
    <hyperlink ref="B37" r:id="rId7" display="Monterey - Peninsula Community College District (2019-2022)" xr:uid="{67DB2402-4FAB-4CBD-89D6-EB96AAFE1EB2}"/>
    <hyperlink ref="B43" r:id="rId8" display="San Luis Obispo County Community College District (2021-2023)" xr:uid="{A7CC580A-F890-46D9-8EFE-C32F7B97BA61}"/>
    <hyperlink ref="B33" r:id="rId9" display="State Center Community College District (2018-2021) " xr:uid="{633FC77B-5F41-402B-8B80-CFA17FE900B6}"/>
    <hyperlink ref="B38" r:id="rId10" display="West Kern Community College District (Taft College) (2020-2023)" xr:uid="{160A6646-0B2D-43E8-97BC-59F294BD9CC8}"/>
    <hyperlink ref="B34" r:id="rId11" display="West Hills Community College District (2019-2022) " xr:uid="{FDAADF45-C2D2-457F-B7C0-7BF201007A5C}"/>
    <hyperlink ref="B32" r:id="rId12" display="Yosemite Community College District (2020-2023) " xr:uid="{8857E4C5-F6B2-4B2D-92C0-CB1BF77698C1}"/>
    <hyperlink ref="B44" r:id="rId13" display="Allan Hancock CCD (2021-2024)" xr:uid="{AC159278-02C9-4252-8D6C-0C42DB57D08D}"/>
    <hyperlink ref="B46" r:id="rId14" display="Ventura" xr:uid="{83BA134A-3AE1-428E-B6C0-CD4A6AD9702B}"/>
    <hyperlink ref="B45" r:id="rId15" display="Los Rios" xr:uid="{5026E983-28FA-4D82-A3F6-43785B1CEC24}"/>
    <hyperlink ref="B35" r:id="rId16" display="Contra Costa Community College District (2019-2022)" xr:uid="{5656A46B-49B6-4846-B790-E0DE933C3135}"/>
    <hyperlink ref="B41" r:id="rId17" display="San Joaquin Delta (2024-2027)" xr:uid="{18EEAD7D-67F5-4B34-A1E1-7615AFC3C23B}"/>
    <hyperlink ref="B31" r:id="rId18" display="State Center Community College District (2018-2021) " xr:uid="{ED94AD85-98B4-42A3-89E0-BC55D39F975E}"/>
  </hyperlinks>
  <pageMargins left="0.25" right="0.25" top="0.75" bottom="0.75" header="0.3" footer="0.3"/>
  <pageSetup scale="48" orientation="landscape" r:id="rId19"/>
  <drawing r:id="rId20"/>
  <tableParts count="1">
    <tablePart r:id="rId2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98FA65-3B27-4FC6-AFDC-5F395DCF1E8D}">
  <dimension ref="A25:C57"/>
  <sheetViews>
    <sheetView zoomScaleNormal="100" workbookViewId="0">
      <selection activeCell="G52" sqref="G52"/>
    </sheetView>
  </sheetViews>
  <sheetFormatPr defaultRowHeight="15" x14ac:dyDescent="0.25"/>
  <cols>
    <col min="2" max="2" width="42.85546875" customWidth="1"/>
    <col min="3" max="3" width="25.140625" customWidth="1"/>
  </cols>
  <sheetData>
    <row r="25" spans="1:3" ht="15.75" thickBot="1" x14ac:dyDescent="0.3"/>
    <row r="26" spans="1:3" ht="52.5" customHeight="1" thickBot="1" x14ac:dyDescent="0.3">
      <c r="A26" s="128" t="s">
        <v>106</v>
      </c>
      <c r="B26" s="404" t="s">
        <v>2</v>
      </c>
      <c r="C26" s="402" t="s">
        <v>116</v>
      </c>
    </row>
    <row r="27" spans="1:3" ht="30" x14ac:dyDescent="0.25">
      <c r="A27" s="147">
        <v>1</v>
      </c>
      <c r="B27" s="451" t="s">
        <v>134</v>
      </c>
      <c r="C27" s="461">
        <v>107950.68</v>
      </c>
    </row>
    <row r="28" spans="1:3" x14ac:dyDescent="0.25">
      <c r="A28" s="147">
        <v>2</v>
      </c>
      <c r="B28" s="452" t="s">
        <v>159</v>
      </c>
      <c r="C28" s="403">
        <v>104770.39</v>
      </c>
    </row>
    <row r="29" spans="1:3" ht="30" x14ac:dyDescent="0.25">
      <c r="A29" s="170">
        <v>3</v>
      </c>
      <c r="B29" s="340" t="s">
        <v>181</v>
      </c>
      <c r="C29" s="344">
        <f>(94280*3.3%)+94280</f>
        <v>97391.24</v>
      </c>
    </row>
    <row r="30" spans="1:3" ht="30" x14ac:dyDescent="0.25">
      <c r="A30" s="147">
        <v>4</v>
      </c>
      <c r="B30" s="348" t="s">
        <v>137</v>
      </c>
      <c r="C30" s="352">
        <v>94280</v>
      </c>
    </row>
    <row r="31" spans="1:3" ht="30" x14ac:dyDescent="0.25">
      <c r="A31" s="147">
        <v>5</v>
      </c>
      <c r="B31" s="452" t="s">
        <v>136</v>
      </c>
      <c r="C31" s="403">
        <v>92853</v>
      </c>
    </row>
    <row r="32" spans="1:3" ht="30" x14ac:dyDescent="0.25">
      <c r="A32" s="147">
        <v>6</v>
      </c>
      <c r="B32" s="452" t="s">
        <v>141</v>
      </c>
      <c r="C32" s="462">
        <v>91432</v>
      </c>
    </row>
    <row r="33" spans="1:3" ht="30" x14ac:dyDescent="0.25">
      <c r="A33" s="147">
        <v>7</v>
      </c>
      <c r="B33" s="452" t="s">
        <v>140</v>
      </c>
      <c r="C33" s="403">
        <v>91255</v>
      </c>
    </row>
    <row r="34" spans="1:3" x14ac:dyDescent="0.25">
      <c r="A34" s="147">
        <v>8</v>
      </c>
      <c r="B34" s="452" t="s">
        <v>157</v>
      </c>
      <c r="C34" s="403">
        <v>90585</v>
      </c>
    </row>
    <row r="35" spans="1:3" ht="30" x14ac:dyDescent="0.25">
      <c r="A35" s="147">
        <v>9</v>
      </c>
      <c r="B35" s="452" t="s">
        <v>138</v>
      </c>
      <c r="C35" s="403">
        <v>89832</v>
      </c>
    </row>
    <row r="36" spans="1:3" ht="30" x14ac:dyDescent="0.25">
      <c r="A36" s="258">
        <v>10</v>
      </c>
      <c r="B36" s="452" t="s">
        <v>142</v>
      </c>
      <c r="C36" s="403">
        <v>89498</v>
      </c>
    </row>
    <row r="37" spans="1:3" ht="30" x14ac:dyDescent="0.25">
      <c r="A37" s="147">
        <v>11</v>
      </c>
      <c r="B37" s="452" t="s">
        <v>131</v>
      </c>
      <c r="C37" s="403">
        <v>88824</v>
      </c>
    </row>
    <row r="38" spans="1:3" ht="30" x14ac:dyDescent="0.25">
      <c r="A38" s="147">
        <v>12</v>
      </c>
      <c r="B38" s="452" t="s">
        <v>132</v>
      </c>
      <c r="C38" s="403">
        <v>88788</v>
      </c>
    </row>
    <row r="39" spans="1:3" ht="30" x14ac:dyDescent="0.25">
      <c r="A39" s="147">
        <v>13</v>
      </c>
      <c r="B39" s="452" t="s">
        <v>139</v>
      </c>
      <c r="C39" s="460">
        <v>87482</v>
      </c>
    </row>
    <row r="40" spans="1:3" ht="30" x14ac:dyDescent="0.25">
      <c r="A40" s="147">
        <v>14</v>
      </c>
      <c r="B40" s="452" t="s">
        <v>135</v>
      </c>
      <c r="C40" s="403">
        <v>86349.69</v>
      </c>
    </row>
    <row r="41" spans="1:3" ht="30" x14ac:dyDescent="0.25">
      <c r="A41" s="147">
        <v>15</v>
      </c>
      <c r="B41" s="452" t="s">
        <v>154</v>
      </c>
      <c r="C41" s="413">
        <v>84396</v>
      </c>
    </row>
    <row r="42" spans="1:3" x14ac:dyDescent="0.25">
      <c r="A42" s="147">
        <v>16</v>
      </c>
      <c r="B42" s="452" t="s">
        <v>152</v>
      </c>
      <c r="C42" s="413">
        <v>84037</v>
      </c>
    </row>
    <row r="43" spans="1:3" ht="30" x14ac:dyDescent="0.25">
      <c r="A43" s="315">
        <v>17</v>
      </c>
      <c r="B43" s="452" t="s">
        <v>151</v>
      </c>
      <c r="C43" s="413">
        <v>80365</v>
      </c>
    </row>
    <row r="44" spans="1:3" ht="15.75" thickBot="1" x14ac:dyDescent="0.3">
      <c r="A44" s="148">
        <v>18</v>
      </c>
      <c r="B44" s="452" t="s">
        <v>153</v>
      </c>
      <c r="C44" s="413">
        <v>76997</v>
      </c>
    </row>
    <row r="45" spans="1:3" ht="15.75" thickBot="1" x14ac:dyDescent="0.3"/>
    <row r="46" spans="1:3" ht="16.5" thickBot="1" x14ac:dyDescent="0.3">
      <c r="B46" s="115" t="s">
        <v>105</v>
      </c>
      <c r="C46" s="117">
        <f>AVERAGE(C27:C44)</f>
        <v>90393.666666666672</v>
      </c>
    </row>
    <row r="47" spans="1:3" ht="16.5" thickBot="1" x14ac:dyDescent="0.3">
      <c r="B47" s="115" t="s">
        <v>99</v>
      </c>
      <c r="C47" s="117">
        <f>MEDIAN(C27:C44)</f>
        <v>89665</v>
      </c>
    </row>
    <row r="48" spans="1:3" ht="16.5" thickBot="1" x14ac:dyDescent="0.3">
      <c r="B48" s="84"/>
      <c r="C48" s="133"/>
    </row>
    <row r="49" spans="2:3" ht="32.25" thickBot="1" x14ac:dyDescent="0.3">
      <c r="B49" s="383" t="s">
        <v>176</v>
      </c>
      <c r="C49" s="388">
        <f>C30-C46</f>
        <v>3886.3333333333285</v>
      </c>
    </row>
    <row r="50" spans="2:3" ht="32.25" thickBot="1" x14ac:dyDescent="0.3">
      <c r="B50" s="385" t="s">
        <v>177</v>
      </c>
      <c r="C50" s="388">
        <f>C30-C47</f>
        <v>4615</v>
      </c>
    </row>
    <row r="51" spans="2:3" ht="16.5" thickBot="1" x14ac:dyDescent="0.3">
      <c r="B51" s="168" t="s">
        <v>88</v>
      </c>
      <c r="C51" s="169">
        <f>-(C49/C30)</f>
        <v>-4.1221185122330598E-2</v>
      </c>
    </row>
    <row r="52" spans="2:3" ht="16.5" thickBot="1" x14ac:dyDescent="0.3">
      <c r="B52" s="168" t="s">
        <v>89</v>
      </c>
      <c r="C52" s="169">
        <f>-(C50/C30)</f>
        <v>-4.8949936359779379E-2</v>
      </c>
    </row>
    <row r="53" spans="2:3" ht="16.5" thickBot="1" x14ac:dyDescent="0.3">
      <c r="B53" s="370"/>
    </row>
    <row r="54" spans="2:3" ht="32.25" thickBot="1" x14ac:dyDescent="0.3">
      <c r="B54" s="386" t="s">
        <v>182</v>
      </c>
      <c r="C54" s="387">
        <f>C29-C46</f>
        <v>6997.5733333333337</v>
      </c>
    </row>
    <row r="55" spans="2:3" ht="32.25" thickBot="1" x14ac:dyDescent="0.3">
      <c r="B55" s="386" t="s">
        <v>183</v>
      </c>
      <c r="C55" s="387">
        <f>C29-C47</f>
        <v>7726.2400000000052</v>
      </c>
    </row>
    <row r="56" spans="2:3" ht="16.5" thickBot="1" x14ac:dyDescent="0.3">
      <c r="B56" s="168" t="s">
        <v>88</v>
      </c>
      <c r="C56" s="169">
        <f>-(C54/C29)</f>
        <v>-7.1850130805741194E-2</v>
      </c>
    </row>
    <row r="57" spans="2:3" ht="16.5" thickBot="1" x14ac:dyDescent="0.3">
      <c r="B57" s="168" t="s">
        <v>89</v>
      </c>
      <c r="C57" s="169">
        <f>-(C55/C29)</f>
        <v>-7.9331980987201775E-2</v>
      </c>
    </row>
  </sheetData>
  <sortState xmlns:xlrd2="http://schemas.microsoft.com/office/spreadsheetml/2017/richdata2" ref="B27:C44">
    <sortCondition descending="1" ref="C26:C44"/>
  </sortState>
  <hyperlinks>
    <hyperlink ref="B37" r:id="rId1" display="Cabrillo Community College District (2019-2022)" xr:uid="{9DEDBA55-D5F7-4E99-AC40-0D90319EBF13}"/>
    <hyperlink ref="B28" r:id="rId2" display="College of the Sequoias (2021-2024)" xr:uid="{7EDD5025-CC2A-4391-9799-47FF84E4835A}"/>
    <hyperlink ref="B40" r:id="rId3" display="Gavilan Community College District (2018-2021)" xr:uid="{986CE73B-68BB-4799-8C39-9B57DC04DEAC}"/>
    <hyperlink ref="B33" r:id="rId4" display="Hartnell Community College District (2019-2022)" xr:uid="{83B11C4A-714C-432B-A79D-EAF94A92BB97}"/>
    <hyperlink ref="B27" r:id="rId5" display="Kern Community College District (2020-2023)" xr:uid="{7084702E-E764-4410-A49A-9435150E29A3}"/>
    <hyperlink ref="B39" r:id="rId6" display="Merced Community College District (2018-2021)" xr:uid="{113AA376-00CD-4B5D-9C52-6B5CE47AD7B8}"/>
    <hyperlink ref="B35" r:id="rId7" display="Monterey - Peninsula Community College District (2019-2022)" xr:uid="{F4F4E4AE-FE61-4405-8FB6-51449EC281ED}"/>
    <hyperlink ref="B38" r:id="rId8" display="San Luis Obispo County Community College District (2021-2023)" xr:uid="{6A48AFDB-EB74-43C7-A063-B5331349F999}"/>
    <hyperlink ref="B30" r:id="rId9" display="State Center Community College District (2018-2021) " xr:uid="{F293C86D-3C5E-4444-81AF-A9975BB67690}"/>
    <hyperlink ref="B31" r:id="rId10" display="West Kern Community College District (Taft College) (2020-2023)" xr:uid="{29723C0C-9F32-4E2F-83CC-FA2D00B0DF93}"/>
    <hyperlink ref="B36" r:id="rId11" display="West Hills Community College District (2019-2022) " xr:uid="{048B700E-C3A8-4436-A2E0-8296A69A06E9}"/>
    <hyperlink ref="B32" r:id="rId12" display="Yosemite Community College District (2020-2023) " xr:uid="{1EFEA0D6-1156-4007-B1BD-466202E4726B}"/>
    <hyperlink ref="B42" r:id="rId13" display="Allan Hancock CCD (2021-2024)" xr:uid="{C3650B48-26BB-417A-8AA5-5FB6D8A1CCE4}"/>
    <hyperlink ref="B44" r:id="rId14" display="Ventura" xr:uid="{FC9405F5-8DF7-455F-8214-35DADF156E65}"/>
    <hyperlink ref="B43" r:id="rId15" display="Los Rios" xr:uid="{2DB751BF-B88B-4CD5-A3E0-9E072AC6C5FB}"/>
    <hyperlink ref="B41" r:id="rId16" display="Contra Costa Community College District (2019-2022)" xr:uid="{1F110A8E-599F-42E1-8305-A79AD28B54CF}"/>
    <hyperlink ref="B34" r:id="rId17" display="San Joaquin Delta (2024-2027)" xr:uid="{84779A0B-52D6-4B46-8CE2-78F54876B94F}"/>
    <hyperlink ref="B29" r:id="rId18" display="State Center Community College District (2018-2021) " xr:uid="{C5EC3A7E-68A4-4F1A-9DF7-2DF6B3CBCC5B}"/>
  </hyperlinks>
  <pageMargins left="0.7" right="0.7" top="0.75" bottom="0.75" header="0.3" footer="0.3"/>
  <pageSetup orientation="portrait" r:id="rId19"/>
  <drawing r:id="rId20"/>
  <tableParts count="1">
    <tablePart r:id="rId2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8B5140-2D4D-4533-A98E-D2C1C9914F69}">
  <dimension ref="A25:C57"/>
  <sheetViews>
    <sheetView workbookViewId="0">
      <selection activeCell="F52" sqref="F52:G52"/>
    </sheetView>
  </sheetViews>
  <sheetFormatPr defaultRowHeight="15" x14ac:dyDescent="0.25"/>
  <cols>
    <col min="2" max="2" width="48.85546875" customWidth="1"/>
    <col min="3" max="3" width="30.140625" customWidth="1"/>
  </cols>
  <sheetData>
    <row r="25" spans="1:3" ht="15.75" thickBot="1" x14ac:dyDescent="0.3"/>
    <row r="26" spans="1:3" ht="36" thickBot="1" x14ac:dyDescent="0.3">
      <c r="A26" s="128" t="s">
        <v>106</v>
      </c>
      <c r="B26" s="404" t="s">
        <v>2</v>
      </c>
      <c r="C26" s="404" t="s">
        <v>113</v>
      </c>
    </row>
    <row r="27" spans="1:3" x14ac:dyDescent="0.25">
      <c r="A27" s="360">
        <v>1</v>
      </c>
      <c r="B27" s="467" t="s">
        <v>134</v>
      </c>
      <c r="C27" s="463">
        <v>130686.33</v>
      </c>
    </row>
    <row r="28" spans="1:3" x14ac:dyDescent="0.25">
      <c r="A28" s="466">
        <v>2</v>
      </c>
      <c r="B28" s="468" t="s">
        <v>159</v>
      </c>
      <c r="C28" s="407">
        <v>120992.52</v>
      </c>
    </row>
    <row r="29" spans="1:3" ht="30" x14ac:dyDescent="0.25">
      <c r="A29" s="417">
        <v>3</v>
      </c>
      <c r="B29" s="469" t="s">
        <v>181</v>
      </c>
      <c r="C29" s="464">
        <f>(116857*3.3%)+116857</f>
        <v>120713.281</v>
      </c>
    </row>
    <row r="30" spans="1:3" ht="30" x14ac:dyDescent="0.25">
      <c r="A30" s="360">
        <v>4</v>
      </c>
      <c r="B30" s="468" t="s">
        <v>136</v>
      </c>
      <c r="C30" s="407">
        <v>118829</v>
      </c>
    </row>
    <row r="31" spans="1:3" ht="36.75" customHeight="1" x14ac:dyDescent="0.25">
      <c r="A31" s="417">
        <v>5</v>
      </c>
      <c r="B31" s="470" t="s">
        <v>137</v>
      </c>
      <c r="C31" s="257">
        <v>116857</v>
      </c>
    </row>
    <row r="32" spans="1:3" ht="30" customHeight="1" x14ac:dyDescent="0.25">
      <c r="A32" s="417">
        <v>6</v>
      </c>
      <c r="B32" s="468" t="s">
        <v>141</v>
      </c>
      <c r="C32" s="182">
        <v>116603</v>
      </c>
    </row>
    <row r="33" spans="1:3" ht="30" x14ac:dyDescent="0.25">
      <c r="A33" s="417">
        <v>7</v>
      </c>
      <c r="B33" s="468" t="s">
        <v>132</v>
      </c>
      <c r="C33" s="407">
        <v>112613</v>
      </c>
    </row>
    <row r="34" spans="1:3" ht="30" x14ac:dyDescent="0.25">
      <c r="A34" s="417">
        <v>8</v>
      </c>
      <c r="B34" s="468" t="s">
        <v>140</v>
      </c>
      <c r="C34" s="407">
        <v>111904</v>
      </c>
    </row>
    <row r="35" spans="1:3" ht="30" x14ac:dyDescent="0.25">
      <c r="A35" s="417">
        <v>9</v>
      </c>
      <c r="B35" s="468" t="s">
        <v>138</v>
      </c>
      <c r="C35" s="407">
        <v>110947</v>
      </c>
    </row>
    <row r="36" spans="1:3" ht="39" customHeight="1" x14ac:dyDescent="0.25">
      <c r="A36" s="417">
        <v>10</v>
      </c>
      <c r="B36" s="468" t="s">
        <v>135</v>
      </c>
      <c r="C36" s="407">
        <v>110497.14</v>
      </c>
    </row>
    <row r="37" spans="1:3" ht="30" x14ac:dyDescent="0.25">
      <c r="A37" s="417">
        <v>11</v>
      </c>
      <c r="B37" s="468" t="s">
        <v>131</v>
      </c>
      <c r="C37" s="407">
        <v>110252</v>
      </c>
    </row>
    <row r="38" spans="1:3" ht="30" x14ac:dyDescent="0.25">
      <c r="A38" s="417">
        <v>12</v>
      </c>
      <c r="B38" s="468" t="s">
        <v>139</v>
      </c>
      <c r="C38" s="422">
        <v>109670</v>
      </c>
    </row>
    <row r="39" spans="1:3" x14ac:dyDescent="0.25">
      <c r="A39" s="417">
        <v>13</v>
      </c>
      <c r="B39" s="468" t="s">
        <v>157</v>
      </c>
      <c r="C39" s="407">
        <v>109147</v>
      </c>
    </row>
    <row r="40" spans="1:3" ht="30" x14ac:dyDescent="0.25">
      <c r="A40" s="417">
        <v>14</v>
      </c>
      <c r="B40" s="468" t="s">
        <v>154</v>
      </c>
      <c r="C40" s="465">
        <v>106260</v>
      </c>
    </row>
    <row r="41" spans="1:3" ht="30" x14ac:dyDescent="0.25">
      <c r="A41" s="417">
        <v>15</v>
      </c>
      <c r="B41" s="468" t="s">
        <v>151</v>
      </c>
      <c r="C41" s="465">
        <v>104772</v>
      </c>
    </row>
    <row r="42" spans="1:3" ht="30" x14ac:dyDescent="0.25">
      <c r="A42" s="417">
        <v>16</v>
      </c>
      <c r="B42" s="468" t="s">
        <v>142</v>
      </c>
      <c r="C42" s="407">
        <v>103459</v>
      </c>
    </row>
    <row r="43" spans="1:3" x14ac:dyDescent="0.25">
      <c r="A43" s="417">
        <v>17</v>
      </c>
      <c r="B43" s="468" t="s">
        <v>152</v>
      </c>
      <c r="C43" s="465">
        <v>102134</v>
      </c>
    </row>
    <row r="44" spans="1:3" ht="15.75" thickBot="1" x14ac:dyDescent="0.3">
      <c r="A44" s="418">
        <v>18</v>
      </c>
      <c r="B44" s="468" t="s">
        <v>153</v>
      </c>
      <c r="C44" s="465">
        <v>92393</v>
      </c>
    </row>
    <row r="45" spans="1:3" ht="15.75" thickBot="1" x14ac:dyDescent="0.3"/>
    <row r="46" spans="1:3" ht="16.5" thickBot="1" x14ac:dyDescent="0.3">
      <c r="B46" s="115" t="s">
        <v>105</v>
      </c>
      <c r="C46" s="117">
        <f>AVERAGE(C27:C44)</f>
        <v>111596.07061111111</v>
      </c>
    </row>
    <row r="47" spans="1:3" ht="16.5" thickBot="1" x14ac:dyDescent="0.3">
      <c r="B47" s="115" t="s">
        <v>99</v>
      </c>
      <c r="C47" s="117">
        <f>MEDIAN(C27:C44)</f>
        <v>110722.07</v>
      </c>
    </row>
    <row r="48" spans="1:3" ht="16.5" thickBot="1" x14ac:dyDescent="0.3">
      <c r="B48" s="84"/>
      <c r="C48" s="133"/>
    </row>
    <row r="49" spans="2:3" ht="17.25" customHeight="1" thickBot="1" x14ac:dyDescent="0.3">
      <c r="B49" s="471" t="s">
        <v>176</v>
      </c>
      <c r="C49" s="405">
        <f>C31-C46</f>
        <v>5260.9293888888933</v>
      </c>
    </row>
    <row r="50" spans="2:3" ht="21.75" customHeight="1" thickBot="1" x14ac:dyDescent="0.3">
      <c r="B50" s="406" t="s">
        <v>177</v>
      </c>
      <c r="C50" s="405">
        <f>C31-C47</f>
        <v>6134.929999999993</v>
      </c>
    </row>
    <row r="51" spans="2:3" ht="16.5" thickBot="1" x14ac:dyDescent="0.3">
      <c r="B51" s="168" t="s">
        <v>88</v>
      </c>
      <c r="C51" s="169">
        <f>-(C49/C31)</f>
        <v>-4.5020233181485861E-2</v>
      </c>
    </row>
    <row r="52" spans="2:3" ht="16.5" thickBot="1" x14ac:dyDescent="0.3">
      <c r="B52" s="168" t="s">
        <v>89</v>
      </c>
      <c r="C52" s="169">
        <f>-(C50/C31)</f>
        <v>-5.2499465158270302E-2</v>
      </c>
    </row>
    <row r="53" spans="2:3" ht="16.5" thickBot="1" x14ac:dyDescent="0.3">
      <c r="B53" s="370"/>
    </row>
    <row r="54" spans="2:3" ht="32.25" thickBot="1" x14ac:dyDescent="0.3">
      <c r="B54" s="386" t="s">
        <v>182</v>
      </c>
      <c r="C54" s="387">
        <f>C29-C46</f>
        <v>9117.210388888896</v>
      </c>
    </row>
    <row r="55" spans="2:3" ht="32.25" thickBot="1" x14ac:dyDescent="0.3">
      <c r="B55" s="386" t="s">
        <v>183</v>
      </c>
      <c r="C55" s="387">
        <f>C29-C47</f>
        <v>9991.2109999999957</v>
      </c>
    </row>
    <row r="56" spans="2:3" ht="16.5" thickBot="1" x14ac:dyDescent="0.3">
      <c r="B56" s="168" t="s">
        <v>88</v>
      </c>
      <c r="C56" s="169">
        <f>-(C54/C29)</f>
        <v>-7.5527815277333862E-2</v>
      </c>
    </row>
    <row r="57" spans="2:3" ht="16.5" thickBot="1" x14ac:dyDescent="0.3">
      <c r="B57" s="168" t="s">
        <v>89</v>
      </c>
      <c r="C57" s="169">
        <f>-(C55/C29)</f>
        <v>-8.2768117287773793E-2</v>
      </c>
    </row>
  </sheetData>
  <sortState xmlns:xlrd2="http://schemas.microsoft.com/office/spreadsheetml/2017/richdata2" ref="B27:C43">
    <sortCondition descending="1" ref="C26:C43"/>
  </sortState>
  <hyperlinks>
    <hyperlink ref="B37" r:id="rId1" display="Cabrillo Community College District (2019-2022)" xr:uid="{36BF8FCF-082E-40EA-997F-06327711ECB7}"/>
    <hyperlink ref="B28" r:id="rId2" display="College of the Sequoias (2021-2024)" xr:uid="{F09DE0B7-B1F4-430C-A5C2-E66D2E772E38}"/>
    <hyperlink ref="B36" r:id="rId3" display="Gavilan Community College District (2018-2021)" xr:uid="{4266E71D-000A-4F5C-959C-00427CB6073A}"/>
    <hyperlink ref="B34" r:id="rId4" display="Hartnell Community College District (2019-2022)" xr:uid="{C2976169-06AE-4A19-B9D3-434E55A34609}"/>
    <hyperlink ref="B27" r:id="rId5" display="Kern Community College District (2020-2023)" xr:uid="{FF5DA8D4-9250-4B90-8F93-0740A51AAD76}"/>
    <hyperlink ref="B38" r:id="rId6" display="Merced Community College District (2018-2021)" xr:uid="{B32CEC92-04D7-44FF-A645-5DADBEFBEA17}"/>
    <hyperlink ref="B35" r:id="rId7" display="Monterey - Peninsula Community College District (2019-2022)" xr:uid="{8ED69DBC-6D71-467B-A755-B1030D04769D}"/>
    <hyperlink ref="B33" r:id="rId8" display="San Luis Obispo County Community College District (2021-2023)" xr:uid="{FE0207FB-25AC-46B5-96F0-4ACB478543F4}"/>
    <hyperlink ref="B31" r:id="rId9" display="State Center Community College District (2018-2021) " xr:uid="{3F802124-6BFA-480A-AA4D-F05FE03BDFD8}"/>
    <hyperlink ref="B30" r:id="rId10" display="West Kern Community College District (Taft College) (2020-2023)" xr:uid="{E85D1BD4-7D24-42D7-A846-14F652A1931B}"/>
    <hyperlink ref="B42" r:id="rId11" display="West Hills Community College District (2019-2022) " xr:uid="{10A17337-F815-4B2C-A9BA-77FAA7F6060A}"/>
    <hyperlink ref="B32" r:id="rId12" display="Yosemite Community College District (2020-2023) " xr:uid="{57B27928-62EC-4FDF-879D-E4A56B568267}"/>
    <hyperlink ref="B43" r:id="rId13" display="Allan Hancock CCD (2021-2024)" xr:uid="{1342B8CC-24E1-4433-A872-17ED9F007DCC}"/>
    <hyperlink ref="B44" r:id="rId14" display="Ventura" xr:uid="{5B205092-C400-4987-81F0-C9D6597802BE}"/>
    <hyperlink ref="B41" r:id="rId15" display="Los Rios" xr:uid="{3E0C6EA4-9115-4194-9B22-98F5C7B39EFC}"/>
    <hyperlink ref="B40" r:id="rId16" display="Contra Costa Community College District (2019-2022)" xr:uid="{81369170-E3D9-454A-B9CD-3E2DF8E190F3}"/>
    <hyperlink ref="B39" r:id="rId17" display="San Joaquin Delta (2024-2027)" xr:uid="{C4C5EB0E-5572-48F9-A887-AC1CA950630D}"/>
    <hyperlink ref="B29" r:id="rId18" display="State Center Community College District (2018-2021) " xr:uid="{096FA5E0-FADE-43A7-B90D-2FBAFB469869}"/>
  </hyperlinks>
  <pageMargins left="0.7" right="0.7" top="0.75" bottom="0.75" header="0.3" footer="0.3"/>
  <pageSetup orientation="portrait" r:id="rId19"/>
  <drawing r:id="rId20"/>
  <tableParts count="1">
    <tablePart r:id="rId2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E24654-B1D1-4A19-A00E-D9E8411BEB4B}">
  <dimension ref="A25:E57"/>
  <sheetViews>
    <sheetView workbookViewId="0">
      <selection activeCell="F26" sqref="F26"/>
    </sheetView>
  </sheetViews>
  <sheetFormatPr defaultRowHeight="15" x14ac:dyDescent="0.25"/>
  <cols>
    <col min="2" max="2" width="48.85546875" customWidth="1"/>
    <col min="3" max="3" width="30.42578125" customWidth="1"/>
    <col min="5" max="5" width="17.28515625" customWidth="1"/>
  </cols>
  <sheetData>
    <row r="25" spans="1:3" ht="15.75" thickBot="1" x14ac:dyDescent="0.3"/>
    <row r="26" spans="1:3" ht="36" thickBot="1" x14ac:dyDescent="0.3">
      <c r="A26" s="128" t="s">
        <v>106</v>
      </c>
      <c r="B26" s="404" t="s">
        <v>2</v>
      </c>
      <c r="C26" s="402" t="s">
        <v>114</v>
      </c>
    </row>
    <row r="27" spans="1:3" x14ac:dyDescent="0.25">
      <c r="A27" s="147">
        <v>1</v>
      </c>
      <c r="B27" s="451" t="s">
        <v>159</v>
      </c>
      <c r="C27" s="461">
        <v>154352.71</v>
      </c>
    </row>
    <row r="28" spans="1:3" ht="30" x14ac:dyDescent="0.25">
      <c r="A28" s="147">
        <v>2</v>
      </c>
      <c r="B28" s="452" t="s">
        <v>142</v>
      </c>
      <c r="C28" s="403">
        <v>146065.96</v>
      </c>
    </row>
    <row r="29" spans="1:3" ht="27" customHeight="1" x14ac:dyDescent="0.25">
      <c r="A29" s="147">
        <v>3</v>
      </c>
      <c r="B29" s="340" t="s">
        <v>181</v>
      </c>
      <c r="C29" s="344">
        <f>(140017*3.3%)+140017</f>
        <v>144637.56099999999</v>
      </c>
    </row>
    <row r="30" spans="1:3" ht="30" x14ac:dyDescent="0.25">
      <c r="A30" s="147">
        <v>4</v>
      </c>
      <c r="B30" s="317" t="s">
        <v>139</v>
      </c>
      <c r="C30" s="403">
        <v>142608</v>
      </c>
    </row>
    <row r="31" spans="1:3" x14ac:dyDescent="0.25">
      <c r="A31" s="147">
        <v>5</v>
      </c>
      <c r="B31" s="317" t="s">
        <v>134</v>
      </c>
      <c r="C31" s="403">
        <v>141663</v>
      </c>
    </row>
    <row r="32" spans="1:3" ht="30" x14ac:dyDescent="0.25">
      <c r="A32" s="147">
        <v>6</v>
      </c>
      <c r="B32" s="452" t="s">
        <v>136</v>
      </c>
      <c r="C32" s="403">
        <v>141259</v>
      </c>
    </row>
    <row r="33" spans="1:5" x14ac:dyDescent="0.25">
      <c r="A33" s="147">
        <v>7</v>
      </c>
      <c r="B33" s="452" t="s">
        <v>157</v>
      </c>
      <c r="C33" s="403">
        <v>140017</v>
      </c>
    </row>
    <row r="34" spans="1:5" ht="30" x14ac:dyDescent="0.25">
      <c r="A34" s="147">
        <v>8</v>
      </c>
      <c r="B34" s="348" t="s">
        <v>137</v>
      </c>
      <c r="C34" s="352">
        <v>136697.17000000001</v>
      </c>
    </row>
    <row r="35" spans="1:5" ht="30.75" customHeight="1" x14ac:dyDescent="0.25">
      <c r="A35" s="147">
        <v>9</v>
      </c>
      <c r="B35" s="452" t="s">
        <v>140</v>
      </c>
      <c r="C35" s="403">
        <v>136030</v>
      </c>
    </row>
    <row r="36" spans="1:5" ht="30" x14ac:dyDescent="0.25">
      <c r="A36" s="147">
        <v>10</v>
      </c>
      <c r="B36" s="452" t="s">
        <v>141</v>
      </c>
      <c r="C36" s="462">
        <v>135685</v>
      </c>
    </row>
    <row r="37" spans="1:5" ht="30" x14ac:dyDescent="0.25">
      <c r="A37" s="147">
        <v>11</v>
      </c>
      <c r="B37" s="452" t="s">
        <v>132</v>
      </c>
      <c r="C37" s="403">
        <v>135222</v>
      </c>
    </row>
    <row r="38" spans="1:5" ht="30" x14ac:dyDescent="0.25">
      <c r="A38" s="147">
        <v>12</v>
      </c>
      <c r="B38" s="452" t="s">
        <v>131</v>
      </c>
      <c r="C38" s="413">
        <v>133679</v>
      </c>
    </row>
    <row r="39" spans="1:5" ht="29.25" customHeight="1" x14ac:dyDescent="0.25">
      <c r="A39" s="147">
        <v>13</v>
      </c>
      <c r="B39" s="452" t="s">
        <v>135</v>
      </c>
      <c r="C39" s="403">
        <v>131064</v>
      </c>
      <c r="E39" s="101"/>
    </row>
    <row r="40" spans="1:5" ht="30" x14ac:dyDescent="0.25">
      <c r="A40" s="147">
        <v>14</v>
      </c>
      <c r="B40" s="452" t="s">
        <v>151</v>
      </c>
      <c r="C40" s="413">
        <v>127485</v>
      </c>
      <c r="E40" s="101"/>
    </row>
    <row r="41" spans="1:5" ht="30" x14ac:dyDescent="0.25">
      <c r="A41" s="147">
        <v>15</v>
      </c>
      <c r="B41" s="317" t="s">
        <v>138</v>
      </c>
      <c r="C41" s="460">
        <v>126360</v>
      </c>
      <c r="E41" s="101"/>
    </row>
    <row r="42" spans="1:5" ht="27.75" customHeight="1" x14ac:dyDescent="0.25">
      <c r="A42" s="147">
        <v>16</v>
      </c>
      <c r="B42" s="452" t="s">
        <v>153</v>
      </c>
      <c r="C42" s="413">
        <v>126300</v>
      </c>
      <c r="E42" s="101"/>
    </row>
    <row r="43" spans="1:5" ht="27.75" customHeight="1" x14ac:dyDescent="0.25">
      <c r="A43" s="315">
        <v>17</v>
      </c>
      <c r="B43" s="452" t="s">
        <v>154</v>
      </c>
      <c r="C43" s="413">
        <v>122569.3</v>
      </c>
    </row>
    <row r="44" spans="1:5" ht="30.75" customHeight="1" thickBot="1" x14ac:dyDescent="0.3">
      <c r="A44" s="148">
        <v>18</v>
      </c>
      <c r="B44" s="452" t="s">
        <v>152</v>
      </c>
      <c r="C44" s="403">
        <v>118541</v>
      </c>
    </row>
    <row r="45" spans="1:5" ht="15.75" thickBot="1" x14ac:dyDescent="0.3"/>
    <row r="46" spans="1:5" ht="16.5" thickBot="1" x14ac:dyDescent="0.3">
      <c r="B46" s="115" t="s">
        <v>105</v>
      </c>
      <c r="C46" s="117">
        <f>AVERAGE(C27:C44)</f>
        <v>135568.65005555551</v>
      </c>
    </row>
    <row r="47" spans="1:5" ht="16.5" thickBot="1" x14ac:dyDescent="0.3">
      <c r="B47" s="115" t="s">
        <v>99</v>
      </c>
      <c r="C47" s="117">
        <f>MEDIAN(C27:C44)</f>
        <v>135857.5</v>
      </c>
    </row>
    <row r="48" spans="1:5" ht="15.75" thickBot="1" x14ac:dyDescent="0.3"/>
    <row r="49" spans="2:3" ht="19.5" customHeight="1" thickBot="1" x14ac:dyDescent="0.3">
      <c r="B49" s="383" t="s">
        <v>176</v>
      </c>
      <c r="C49" s="388">
        <f>C33-C46</f>
        <v>4448.3499444444897</v>
      </c>
    </row>
    <row r="50" spans="2:3" ht="20.25" customHeight="1" thickBot="1" x14ac:dyDescent="0.3">
      <c r="B50" s="385" t="s">
        <v>177</v>
      </c>
      <c r="C50" s="388">
        <f>C33-C47</f>
        <v>4159.5</v>
      </c>
    </row>
    <row r="51" spans="2:3" ht="16.5" thickBot="1" x14ac:dyDescent="0.3">
      <c r="B51" s="168" t="s">
        <v>88</v>
      </c>
      <c r="C51" s="169">
        <f>-(C49/C33)</f>
        <v>-3.1770070380343025E-2</v>
      </c>
    </row>
    <row r="52" spans="2:3" ht="16.5" thickBot="1" x14ac:dyDescent="0.3">
      <c r="B52" s="168" t="s">
        <v>89</v>
      </c>
      <c r="C52" s="169">
        <f>-(C50/C33)</f>
        <v>-2.970710699415071E-2</v>
      </c>
    </row>
    <row r="53" spans="2:3" ht="16.5" thickBot="1" x14ac:dyDescent="0.3">
      <c r="B53" s="370"/>
    </row>
    <row r="54" spans="2:3" ht="32.25" thickBot="1" x14ac:dyDescent="0.3">
      <c r="B54" s="386" t="s">
        <v>182</v>
      </c>
      <c r="C54" s="387">
        <f>C29-C46</f>
        <v>9068.9109444444766</v>
      </c>
    </row>
    <row r="55" spans="2:3" ht="32.25" thickBot="1" x14ac:dyDescent="0.3">
      <c r="B55" s="386" t="s">
        <v>183</v>
      </c>
      <c r="C55" s="387">
        <f>C29-C47</f>
        <v>8780.060999999987</v>
      </c>
    </row>
    <row r="56" spans="2:3" ht="16.5" thickBot="1" x14ac:dyDescent="0.3">
      <c r="B56" s="168" t="s">
        <v>88</v>
      </c>
      <c r="C56" s="169">
        <f>-(C54/C29)</f>
        <v>-6.2700939380777296E-2</v>
      </c>
    </row>
    <row r="57" spans="2:3" ht="16.5" thickBot="1" x14ac:dyDescent="0.3">
      <c r="B57" s="168" t="s">
        <v>89</v>
      </c>
      <c r="C57" s="169">
        <f>-(C55/C29)</f>
        <v>-6.0703878987561105E-2</v>
      </c>
    </row>
  </sheetData>
  <sortState xmlns:xlrd2="http://schemas.microsoft.com/office/spreadsheetml/2017/richdata2" ref="B27:C44">
    <sortCondition descending="1" ref="C26:C44"/>
  </sortState>
  <hyperlinks>
    <hyperlink ref="B38" r:id="rId1" display="Cabrillo Community College District (2019-2022)" xr:uid="{DECC22A0-437C-43C5-9205-91650E9B21BC}"/>
    <hyperlink ref="B27" r:id="rId2" display="College of the Sequoias (2021-2024)" xr:uid="{228EF59E-14AE-4C7C-98A4-3F41D0D3A0AF}"/>
    <hyperlink ref="B39" r:id="rId3" display="Gavilan Community College District (2018-2021)" xr:uid="{7DADC97F-99AE-482A-9799-0051B3A61A20}"/>
    <hyperlink ref="B35" r:id="rId4" display="Hartnell Community College District (2019-2022)" xr:uid="{5BF0F882-4D30-4199-8316-1FF57761488E}"/>
    <hyperlink ref="B31" r:id="rId5" display="Kern Community College District (2020-2023)" xr:uid="{C7580769-2300-4842-80C1-D9F0517AC703}"/>
    <hyperlink ref="B30" r:id="rId6" display="Merced Community College District (2018-2021)" xr:uid="{55D8BA9B-EB82-4737-9B81-5E3994DAFFA0}"/>
    <hyperlink ref="B41" r:id="rId7" display="Monterey - Peninsula Community College District (2019-2022)" xr:uid="{C4524465-906D-42C0-B1D6-BC1B695C7B58}"/>
    <hyperlink ref="B37" r:id="rId8" display="San Luis Obispo County Community College District (2021-2023)" xr:uid="{A70B2D1A-97F3-41CD-B1E7-853D1998F49B}"/>
    <hyperlink ref="B34" r:id="rId9" display="State Center Community College District (2018-2021) " xr:uid="{EE86E7AC-FF5F-4624-B075-58C83EDC9430}"/>
    <hyperlink ref="B32" r:id="rId10" display="West Kern Community College District (Taft College) (2020-2023)" xr:uid="{032170AF-C42A-464F-A4A2-5BC96658B3C0}"/>
    <hyperlink ref="B28" r:id="rId11" display="West Hills Community College District (2019-2022) " xr:uid="{016C67C2-4087-4CB2-A7DD-233E2F68CCE7}"/>
    <hyperlink ref="B36" r:id="rId12" display="Yosemite Community College District (2020-2023) " xr:uid="{B79D79CA-A774-41BC-A64A-BF763153DE00}"/>
    <hyperlink ref="B44" r:id="rId13" display="Allan Hancock CCD (2021-2024)" xr:uid="{89CCA38C-5656-4BDE-A05D-C8748CD28610}"/>
    <hyperlink ref="B42" r:id="rId14" display="Ventura" xr:uid="{34A30E0F-B86B-40FC-807E-B3CAEB6CED6B}"/>
    <hyperlink ref="B40" r:id="rId15" display="Los Rios" xr:uid="{FA4DA94E-9697-4FDB-81AC-4AE11F6AF1F8}"/>
    <hyperlink ref="B43" r:id="rId16" display="Contra Costa Community College District (2019-2022)" xr:uid="{8F128F81-9B0E-4D05-826B-D3F4F8CA03A1}"/>
    <hyperlink ref="B33" r:id="rId17" display="San Joaquin Delta (2024-2027)" xr:uid="{5722A8B8-6212-404E-8D8E-208C64F7A661}"/>
    <hyperlink ref="B29" r:id="rId18" display="State Center Community College District (2018-2021) " xr:uid="{5107726B-B552-49EE-8B42-37F67610AB2D}"/>
  </hyperlinks>
  <pageMargins left="0.7" right="0.7" top="0.75" bottom="0.75" header="0.3" footer="0.3"/>
  <pageSetup orientation="portrait" r:id="rId19"/>
  <drawing r:id="rId20"/>
  <tableParts count="1">
    <tablePart r:id="rId21"/>
  </tablePart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25:D57"/>
  <sheetViews>
    <sheetView zoomScaleNormal="100" workbookViewId="0">
      <selection activeCell="D30" sqref="D30"/>
    </sheetView>
  </sheetViews>
  <sheetFormatPr defaultColWidth="9.140625" defaultRowHeight="15" x14ac:dyDescent="0.2"/>
  <cols>
    <col min="1" max="1" width="4.28515625" style="78" customWidth="1"/>
    <col min="2" max="2" width="48.5703125" style="78" customWidth="1"/>
    <col min="3" max="3" width="27.85546875" style="78" customWidth="1"/>
    <col min="4" max="4" width="34.28515625" style="78" customWidth="1"/>
    <col min="5" max="6" width="9.140625" style="78" customWidth="1"/>
    <col min="7" max="16384" width="9.140625" style="78"/>
  </cols>
  <sheetData>
    <row r="25" spans="1:4" ht="15.75" thickBot="1" x14ac:dyDescent="0.25"/>
    <row r="26" spans="1:4" ht="36" thickBot="1" x14ac:dyDescent="0.25">
      <c r="A26" s="128" t="s">
        <v>106</v>
      </c>
      <c r="B26" s="404" t="s">
        <v>29</v>
      </c>
      <c r="C26" s="412" t="s">
        <v>97</v>
      </c>
    </row>
    <row r="27" spans="1:4" x14ac:dyDescent="0.2">
      <c r="A27" s="155">
        <v>1</v>
      </c>
      <c r="B27" s="451" t="s">
        <v>159</v>
      </c>
      <c r="C27" s="459">
        <v>184165.24</v>
      </c>
      <c r="D27" s="81"/>
    </row>
    <row r="28" spans="1:4" ht="30" x14ac:dyDescent="0.2">
      <c r="A28" s="156">
        <v>2</v>
      </c>
      <c r="B28" s="452" t="s">
        <v>142</v>
      </c>
      <c r="C28" s="403">
        <v>160191</v>
      </c>
      <c r="D28" s="81"/>
    </row>
    <row r="29" spans="1:4" ht="30" x14ac:dyDescent="0.2">
      <c r="A29" s="156">
        <v>3</v>
      </c>
      <c r="B29" s="340" t="s">
        <v>181</v>
      </c>
      <c r="C29" s="344">
        <f>(151012*3.3%)+151012</f>
        <v>155995.39600000001</v>
      </c>
      <c r="D29" s="415"/>
    </row>
    <row r="30" spans="1:4" ht="30" x14ac:dyDescent="0.2">
      <c r="A30" s="156">
        <v>4</v>
      </c>
      <c r="B30" s="452" t="s">
        <v>139</v>
      </c>
      <c r="C30" s="460">
        <v>154982</v>
      </c>
    </row>
    <row r="31" spans="1:4" x14ac:dyDescent="0.2">
      <c r="A31" s="156">
        <v>5</v>
      </c>
      <c r="B31" s="452" t="s">
        <v>134</v>
      </c>
      <c r="C31" s="413">
        <v>154352.71</v>
      </c>
    </row>
    <row r="32" spans="1:4" ht="33" customHeight="1" x14ac:dyDescent="0.2">
      <c r="A32" s="156">
        <v>6</v>
      </c>
      <c r="B32" s="452" t="s">
        <v>136</v>
      </c>
      <c r="C32" s="403">
        <v>149099</v>
      </c>
    </row>
    <row r="33" spans="1:3" ht="34.5" customHeight="1" x14ac:dyDescent="0.2">
      <c r="A33" s="156">
        <v>7</v>
      </c>
      <c r="B33" s="452" t="s">
        <v>157</v>
      </c>
      <c r="C33" s="403">
        <v>147880</v>
      </c>
    </row>
    <row r="34" spans="1:3" ht="30" x14ac:dyDescent="0.2">
      <c r="A34" s="156">
        <v>8</v>
      </c>
      <c r="B34" s="348" t="s">
        <v>137</v>
      </c>
      <c r="C34" s="352">
        <v>147346</v>
      </c>
    </row>
    <row r="35" spans="1:3" ht="30" x14ac:dyDescent="0.2">
      <c r="A35" s="156">
        <v>9</v>
      </c>
      <c r="B35" s="452" t="s">
        <v>140</v>
      </c>
      <c r="C35" s="403">
        <v>144970</v>
      </c>
    </row>
    <row r="36" spans="1:3" ht="30.75" customHeight="1" x14ac:dyDescent="0.2">
      <c r="A36" s="156">
        <v>10</v>
      </c>
      <c r="B36" s="452" t="s">
        <v>141</v>
      </c>
      <c r="C36" s="462">
        <v>141835</v>
      </c>
    </row>
    <row r="37" spans="1:3" ht="30" x14ac:dyDescent="0.2">
      <c r="A37" s="156">
        <v>11</v>
      </c>
      <c r="B37" s="452" t="s">
        <v>132</v>
      </c>
      <c r="C37" s="403">
        <v>141663</v>
      </c>
    </row>
    <row r="38" spans="1:3" ht="30" x14ac:dyDescent="0.2">
      <c r="A38" s="156">
        <v>12</v>
      </c>
      <c r="B38" s="452" t="s">
        <v>131</v>
      </c>
      <c r="C38" s="403">
        <v>140601</v>
      </c>
    </row>
    <row r="39" spans="1:3" ht="30" x14ac:dyDescent="0.2">
      <c r="A39" s="156">
        <v>13</v>
      </c>
      <c r="B39" s="452" t="s">
        <v>135</v>
      </c>
      <c r="C39" s="403">
        <v>139768.37</v>
      </c>
    </row>
    <row r="40" spans="1:3" ht="30" x14ac:dyDescent="0.2">
      <c r="A40" s="156">
        <v>14</v>
      </c>
      <c r="B40" s="452" t="s">
        <v>151</v>
      </c>
      <c r="C40" s="413">
        <v>137884</v>
      </c>
    </row>
    <row r="41" spans="1:3" ht="30" x14ac:dyDescent="0.2">
      <c r="A41" s="156">
        <v>15</v>
      </c>
      <c r="B41" s="452" t="s">
        <v>138</v>
      </c>
      <c r="C41" s="403">
        <f>135222+2332</f>
        <v>137554</v>
      </c>
    </row>
    <row r="42" spans="1:3" x14ac:dyDescent="0.2">
      <c r="A42" s="156">
        <v>16</v>
      </c>
      <c r="B42" s="452" t="s">
        <v>153</v>
      </c>
      <c r="C42" s="413">
        <v>132423.79999999999</v>
      </c>
    </row>
    <row r="43" spans="1:3" ht="30" x14ac:dyDescent="0.2">
      <c r="A43" s="156">
        <v>17</v>
      </c>
      <c r="B43" s="452" t="s">
        <v>154</v>
      </c>
      <c r="C43" s="413">
        <v>132264</v>
      </c>
    </row>
    <row r="44" spans="1:3" x14ac:dyDescent="0.2">
      <c r="A44" s="156">
        <v>18</v>
      </c>
      <c r="B44" s="452" t="s">
        <v>152</v>
      </c>
      <c r="C44" s="413">
        <v>127485</v>
      </c>
    </row>
    <row r="45" spans="1:3" ht="16.5" thickBot="1" x14ac:dyDescent="0.3">
      <c r="B45" s="84"/>
      <c r="C45" s="85"/>
    </row>
    <row r="46" spans="1:3" ht="16.5" thickBot="1" x14ac:dyDescent="0.3">
      <c r="B46" s="115" t="s">
        <v>105</v>
      </c>
      <c r="C46" s="117">
        <f>AVERAGE(C27:C44)</f>
        <v>146136.63977777777</v>
      </c>
    </row>
    <row r="47" spans="1:3" ht="16.5" thickBot="1" x14ac:dyDescent="0.3">
      <c r="B47" s="115" t="s">
        <v>99</v>
      </c>
      <c r="C47" s="117">
        <f>MEDIAN(C27:C44)</f>
        <v>143402.5</v>
      </c>
    </row>
    <row r="48" spans="1:3" ht="15.75" thickBot="1" x14ac:dyDescent="0.25">
      <c r="C48" s="116"/>
    </row>
    <row r="49" spans="2:3" ht="32.25" thickBot="1" x14ac:dyDescent="0.3">
      <c r="B49" s="383" t="s">
        <v>176</v>
      </c>
      <c r="C49" s="388">
        <f>C34-C46</f>
        <v>1209.3602222222253</v>
      </c>
    </row>
    <row r="50" spans="2:3" ht="32.25" thickBot="1" x14ac:dyDescent="0.3">
      <c r="B50" s="385" t="s">
        <v>177</v>
      </c>
      <c r="C50" s="388">
        <f>C34-C47</f>
        <v>3943.5</v>
      </c>
    </row>
    <row r="51" spans="2:3" ht="15.75" thickBot="1" x14ac:dyDescent="0.25">
      <c r="B51" s="168" t="s">
        <v>88</v>
      </c>
      <c r="C51" s="169">
        <f>-(C49/C34)</f>
        <v>-8.2076216675188007E-3</v>
      </c>
    </row>
    <row r="52" spans="2:3" ht="15.75" thickBot="1" x14ac:dyDescent="0.25">
      <c r="B52" s="168" t="s">
        <v>89</v>
      </c>
      <c r="C52" s="169">
        <f>-(C50/C34)</f>
        <v>-2.6763536166573915E-2</v>
      </c>
    </row>
    <row r="53" spans="2:3" ht="15.75" thickBot="1" x14ac:dyDescent="0.25">
      <c r="B53" s="370"/>
    </row>
    <row r="54" spans="2:3" ht="32.25" thickBot="1" x14ac:dyDescent="0.3">
      <c r="B54" s="386" t="s">
        <v>182</v>
      </c>
      <c r="C54" s="387">
        <f>C29-C46</f>
        <v>9858.7562222222332</v>
      </c>
    </row>
    <row r="55" spans="2:3" ht="32.25" thickBot="1" x14ac:dyDescent="0.3">
      <c r="B55" s="386" t="s">
        <v>183</v>
      </c>
      <c r="C55" s="387">
        <f>C29-C47</f>
        <v>12592.896000000008</v>
      </c>
    </row>
    <row r="56" spans="2:3" ht="15.75" thickBot="1" x14ac:dyDescent="0.25">
      <c r="B56" s="168" t="s">
        <v>88</v>
      </c>
      <c r="C56" s="169">
        <f>-(C54/C29)</f>
        <v>-6.3199020452002527E-2</v>
      </c>
    </row>
    <row r="57" spans="2:3" ht="15.75" thickBot="1" x14ac:dyDescent="0.25">
      <c r="B57" s="168" t="s">
        <v>89</v>
      </c>
      <c r="C57" s="169">
        <f>-(C55/C29)</f>
        <v>-8.0726074761847511E-2</v>
      </c>
    </row>
  </sheetData>
  <sortState xmlns:xlrd2="http://schemas.microsoft.com/office/spreadsheetml/2017/richdata2" ref="B27:C44">
    <sortCondition descending="1" ref="C26:C44"/>
  </sortState>
  <customSheetViews>
    <customSheetView guid="{2553490D-CEB8-4CB7-8490-7C9CCD5DDA4B}">
      <selection activeCell="B11" sqref="B11"/>
      <pageMargins left="0.7" right="0.7" top="0.75" bottom="0.75" header="0.3" footer="0.3"/>
    </customSheetView>
  </customSheetViews>
  <hyperlinks>
    <hyperlink ref="B38" r:id="rId1" display="Cabrillo Community College District (2019-2022)" xr:uid="{ECC27216-55D3-4E29-9832-7A8EEBD7A92B}"/>
    <hyperlink ref="B27" r:id="rId2" display="College of the Sequoias (2021-2024)" xr:uid="{AE133338-55CC-4C94-A003-33C48B51106E}"/>
    <hyperlink ref="B39" r:id="rId3" display="Gavilan Community College District (2018-2021)" xr:uid="{7C4D66D3-B3E2-406E-BE67-075C44F8D0DA}"/>
    <hyperlink ref="B35" r:id="rId4" display="Hartnell Community College District (2019-2022)" xr:uid="{DF7D784F-7879-4407-8CB8-48676512E19F}"/>
    <hyperlink ref="B31" r:id="rId5" display="Kern Community College District (2020-2023)" xr:uid="{22707C0A-C006-4793-9FC3-FC3F7B264849}"/>
    <hyperlink ref="B30" r:id="rId6" display="Merced Community College District (2018-2021)" xr:uid="{DD0474C5-F78C-45A8-8D8D-C8F043F6DF8B}"/>
    <hyperlink ref="B41" r:id="rId7" display="Monterey - Peninsula Community College District (2019-2022)" xr:uid="{F7C6EEDC-ACF8-41B8-9C59-EB82A68691AE}"/>
    <hyperlink ref="B37" r:id="rId8" display="San Luis Obispo County Community College District (2021-2023)" xr:uid="{E74D1F4E-ABB4-414C-8C31-985E72827B4F}"/>
    <hyperlink ref="B34" r:id="rId9" display="State Center Community College District (2018-2021) " xr:uid="{A980918D-1D09-43AA-8406-D09D25F08C02}"/>
    <hyperlink ref="B32" r:id="rId10" display="West Kern Community College District (Taft College) (2020-2023)" xr:uid="{C95F9336-76F7-4A7F-A181-71903CA561E4}"/>
    <hyperlink ref="B28" r:id="rId11" display="West Hills Community College District (2019-2022) " xr:uid="{458153DE-6F3A-42E9-881D-694C171945D7}"/>
    <hyperlink ref="B36" r:id="rId12" display="Yosemite Community College District (2020-2023) " xr:uid="{87E94089-3C18-4484-BB7B-CF68C1204BB6}"/>
    <hyperlink ref="B44" r:id="rId13" display="Allan Hancock CCD (2021-2024)" xr:uid="{40354FFB-C1A5-4D2E-8516-424CCFBDE395}"/>
    <hyperlink ref="B42" r:id="rId14" display="Ventura" xr:uid="{B34AE67D-FE81-4457-8D88-93F0C4EF4FCF}"/>
    <hyperlink ref="B40" r:id="rId15" display="Los Rios" xr:uid="{155D49CA-7995-49C4-A991-36EC9A29E516}"/>
    <hyperlink ref="B43" r:id="rId16" display="Contra Costa Community College District (2019-2022)" xr:uid="{65C93DD6-35FA-4794-85A1-EB4E0A19FF45}"/>
    <hyperlink ref="B33" r:id="rId17" display="San Joaquin Delta (2024-2027)" xr:uid="{47CD0338-F623-4BEE-98CF-BF76E4F55361}"/>
    <hyperlink ref="B29" r:id="rId18" display="State Center Community College District (2018-2021) " xr:uid="{E9E780BB-90D9-4856-B95D-DE4534A3B055}"/>
  </hyperlinks>
  <pageMargins left="0.25" right="0.25" top="0.75" bottom="0.75" header="0.3" footer="0.3"/>
  <pageSetup scale="49" orientation="landscape" r:id="rId19"/>
  <drawing r:id="rId20"/>
  <legacyDrawing r:id="rId21"/>
  <tableParts count="1">
    <tablePart r:id="rId22"/>
  </tablePart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20:D52"/>
  <sheetViews>
    <sheetView zoomScale="95" zoomScaleNormal="95" workbookViewId="0">
      <selection activeCell="C41" sqref="C41"/>
    </sheetView>
  </sheetViews>
  <sheetFormatPr defaultColWidth="9.140625" defaultRowHeight="15" x14ac:dyDescent="0.2"/>
  <cols>
    <col min="1" max="1" width="4" style="78" customWidth="1"/>
    <col min="2" max="2" width="47.5703125" style="78" customWidth="1"/>
    <col min="3" max="3" width="39" style="78" customWidth="1"/>
    <col min="4" max="4" width="35.7109375" style="78" customWidth="1"/>
    <col min="5" max="5" width="20.42578125" style="78" customWidth="1"/>
    <col min="6" max="8" width="9.140625" style="78"/>
    <col min="9" max="9" width="12.5703125" style="78" customWidth="1"/>
    <col min="10" max="16384" width="9.140625" style="78"/>
  </cols>
  <sheetData>
    <row r="20" spans="1:4" ht="15.75" thickBot="1" x14ac:dyDescent="0.25"/>
    <row r="21" spans="1:4" ht="34.5" customHeight="1" thickBot="1" x14ac:dyDescent="0.25">
      <c r="A21" s="130" t="s">
        <v>106</v>
      </c>
      <c r="B21" s="404" t="s">
        <v>29</v>
      </c>
      <c r="C21" s="402" t="s">
        <v>96</v>
      </c>
    </row>
    <row r="22" spans="1:4" x14ac:dyDescent="0.2">
      <c r="A22" s="155">
        <v>1</v>
      </c>
      <c r="B22" s="451" t="s">
        <v>159</v>
      </c>
      <c r="C22" s="472">
        <f>184165.24+3314.12</f>
        <v>187479.36</v>
      </c>
      <c r="D22" s="261"/>
    </row>
    <row r="23" spans="1:4" ht="30" x14ac:dyDescent="0.2">
      <c r="A23" s="156">
        <v>2</v>
      </c>
      <c r="B23" s="452" t="s">
        <v>134</v>
      </c>
      <c r="C23" s="473">
        <v>166155.19</v>
      </c>
      <c r="D23" s="261"/>
    </row>
    <row r="24" spans="1:4" ht="30" x14ac:dyDescent="0.2">
      <c r="A24" s="156">
        <v>3</v>
      </c>
      <c r="B24" s="452" t="s">
        <v>136</v>
      </c>
      <c r="C24" s="474">
        <f>149099+(149099*6%)+5040.31</f>
        <v>163085.25</v>
      </c>
      <c r="D24" s="261"/>
    </row>
    <row r="25" spans="1:4" ht="30" x14ac:dyDescent="0.2">
      <c r="A25" s="156">
        <v>4</v>
      </c>
      <c r="B25" s="452" t="s">
        <v>142</v>
      </c>
      <c r="C25" s="474">
        <f>160191+2500</f>
        <v>162691</v>
      </c>
      <c r="D25" s="261"/>
    </row>
    <row r="26" spans="1:4" ht="30" x14ac:dyDescent="0.2">
      <c r="A26" s="156">
        <v>5</v>
      </c>
      <c r="B26" s="452" t="s">
        <v>139</v>
      </c>
      <c r="C26" s="475">
        <f>154982+6442</f>
        <v>161424</v>
      </c>
      <c r="D26" s="261"/>
    </row>
    <row r="27" spans="1:4" ht="37.5" customHeight="1" x14ac:dyDescent="0.2">
      <c r="A27" s="156">
        <v>6</v>
      </c>
      <c r="B27" s="340" t="s">
        <v>181</v>
      </c>
      <c r="C27" s="477">
        <f>((151012+2419)*3.3%)+151012+2419</f>
        <v>158494.223</v>
      </c>
      <c r="D27" s="261"/>
    </row>
    <row r="28" spans="1:4" x14ac:dyDescent="0.2">
      <c r="A28" s="156">
        <v>7</v>
      </c>
      <c r="B28" s="452" t="s">
        <v>157</v>
      </c>
      <c r="C28" s="474">
        <v>151165</v>
      </c>
      <c r="D28" s="261"/>
    </row>
    <row r="29" spans="1:4" ht="30" x14ac:dyDescent="0.2">
      <c r="A29" s="156">
        <v>8</v>
      </c>
      <c r="B29" s="348" t="s">
        <v>137</v>
      </c>
      <c r="C29" s="353">
        <f>147346+2419</f>
        <v>149765</v>
      </c>
      <c r="D29" s="261"/>
    </row>
    <row r="30" spans="1:4" ht="30" x14ac:dyDescent="0.2">
      <c r="A30" s="156">
        <v>9</v>
      </c>
      <c r="B30" s="452" t="s">
        <v>140</v>
      </c>
      <c r="C30" s="474">
        <v>149154</v>
      </c>
      <c r="D30" s="261"/>
    </row>
    <row r="31" spans="1:4" ht="30" x14ac:dyDescent="0.2">
      <c r="A31" s="156">
        <v>10</v>
      </c>
      <c r="B31" s="452" t="s">
        <v>135</v>
      </c>
      <c r="C31" s="474">
        <f>143708.1+3939.7224</f>
        <v>147647.8224</v>
      </c>
      <c r="D31" s="261"/>
    </row>
    <row r="32" spans="1:4" ht="30" x14ac:dyDescent="0.2">
      <c r="A32" s="156">
        <v>11</v>
      </c>
      <c r="B32" s="452" t="s">
        <v>132</v>
      </c>
      <c r="C32" s="474">
        <v>145819</v>
      </c>
      <c r="D32" s="261"/>
    </row>
    <row r="33" spans="1:4" ht="30" x14ac:dyDescent="0.2">
      <c r="A33" s="156">
        <v>12</v>
      </c>
      <c r="B33" s="452" t="s">
        <v>131</v>
      </c>
      <c r="C33" s="474">
        <f>140601+4697</f>
        <v>145298</v>
      </c>
      <c r="D33" s="261"/>
    </row>
    <row r="34" spans="1:4" ht="30" x14ac:dyDescent="0.2">
      <c r="A34" s="156">
        <v>13</v>
      </c>
      <c r="B34" s="452" t="s">
        <v>141</v>
      </c>
      <c r="C34" s="476">
        <v>145028</v>
      </c>
      <c r="D34" s="261"/>
    </row>
    <row r="35" spans="1:4" ht="30" x14ac:dyDescent="0.2">
      <c r="A35" s="156">
        <v>14</v>
      </c>
      <c r="B35" s="452" t="s">
        <v>151</v>
      </c>
      <c r="C35" s="473">
        <v>143927</v>
      </c>
      <c r="D35" s="261"/>
    </row>
    <row r="36" spans="1:4" x14ac:dyDescent="0.2">
      <c r="A36" s="156">
        <v>15</v>
      </c>
      <c r="B36" s="452" t="s">
        <v>153</v>
      </c>
      <c r="C36" s="473">
        <v>138585.79999999999</v>
      </c>
      <c r="D36" s="261"/>
    </row>
    <row r="37" spans="1:4" ht="30" x14ac:dyDescent="0.2">
      <c r="A37" s="156">
        <v>16</v>
      </c>
      <c r="B37" s="452" t="s">
        <v>138</v>
      </c>
      <c r="C37" s="474">
        <f>135222+3290</f>
        <v>138512</v>
      </c>
      <c r="D37" s="261"/>
    </row>
    <row r="38" spans="1:4" ht="30" x14ac:dyDescent="0.2">
      <c r="A38" s="156">
        <v>17</v>
      </c>
      <c r="B38" s="452" t="s">
        <v>154</v>
      </c>
      <c r="C38" s="476">
        <v>132264</v>
      </c>
      <c r="D38" s="261"/>
    </row>
    <row r="39" spans="1:4" ht="15.75" thickBot="1" x14ac:dyDescent="0.25">
      <c r="A39" s="157">
        <v>18</v>
      </c>
      <c r="B39" s="452" t="s">
        <v>152</v>
      </c>
      <c r="C39" s="473">
        <v>129985</v>
      </c>
    </row>
    <row r="40" spans="1:4" ht="16.5" thickBot="1" x14ac:dyDescent="0.3">
      <c r="B40" s="84"/>
      <c r="C40" s="118"/>
    </row>
    <row r="41" spans="1:4" ht="16.5" thickBot="1" x14ac:dyDescent="0.3">
      <c r="B41" s="115" t="s">
        <v>105</v>
      </c>
      <c r="C41" s="117">
        <f>AVERAGE(C22:C39)</f>
        <v>150915.53585555556</v>
      </c>
    </row>
    <row r="42" spans="1:4" ht="16.5" thickBot="1" x14ac:dyDescent="0.3">
      <c r="B42" s="115" t="s">
        <v>99</v>
      </c>
      <c r="C42" s="117">
        <f>MEDIAN(C22:C39)</f>
        <v>148400.9112</v>
      </c>
    </row>
    <row r="43" spans="1:4" ht="15.75" thickBot="1" x14ac:dyDescent="0.25">
      <c r="C43" s="116"/>
    </row>
    <row r="44" spans="1:4" ht="20.25" customHeight="1" thickBot="1" x14ac:dyDescent="0.3">
      <c r="B44" s="383" t="s">
        <v>176</v>
      </c>
      <c r="C44" s="388">
        <f>C41-C29</f>
        <v>1150.5358555555576</v>
      </c>
    </row>
    <row r="45" spans="1:4" ht="20.25" customHeight="1" thickBot="1" x14ac:dyDescent="0.3">
      <c r="B45" s="385" t="s">
        <v>177</v>
      </c>
      <c r="C45" s="388">
        <f>C29-C42</f>
        <v>1364.0887999999977</v>
      </c>
    </row>
    <row r="46" spans="1:4" ht="15.75" thickBot="1" x14ac:dyDescent="0.25">
      <c r="B46" s="168" t="s">
        <v>88</v>
      </c>
      <c r="C46" s="169">
        <f>(C44/C29)</f>
        <v>7.6822746005779565E-3</v>
      </c>
    </row>
    <row r="47" spans="1:4" ht="15.75" thickBot="1" x14ac:dyDescent="0.25">
      <c r="B47" s="168" t="s">
        <v>89</v>
      </c>
      <c r="C47" s="169">
        <f>-(C45/C29)</f>
        <v>-9.1081948385804273E-3</v>
      </c>
    </row>
    <row r="48" spans="1:4" ht="15.75" thickBot="1" x14ac:dyDescent="0.25">
      <c r="B48" s="370"/>
      <c r="C48" s="119"/>
    </row>
    <row r="49" spans="2:3" ht="32.25" thickBot="1" x14ac:dyDescent="0.3">
      <c r="B49" s="386" t="s">
        <v>182</v>
      </c>
      <c r="C49" s="414">
        <f>C27-C41</f>
        <v>7578.6871444444405</v>
      </c>
    </row>
    <row r="50" spans="2:3" ht="32.25" thickBot="1" x14ac:dyDescent="0.3">
      <c r="B50" s="386" t="s">
        <v>183</v>
      </c>
      <c r="C50" s="414">
        <f>C27-C42</f>
        <v>10093.311799999996</v>
      </c>
    </row>
    <row r="51" spans="2:3" ht="15.75" thickBot="1" x14ac:dyDescent="0.25">
      <c r="B51" s="168" t="s">
        <v>88</v>
      </c>
      <c r="C51" s="169">
        <f>-(C49/C27)</f>
        <v>-4.7816803672676704E-2</v>
      </c>
    </row>
    <row r="52" spans="2:3" ht="15.75" thickBot="1" x14ac:dyDescent="0.25">
      <c r="B52" s="168" t="s">
        <v>89</v>
      </c>
      <c r="C52" s="169">
        <f>-(C50/C27)</f>
        <v>-6.3682521728252492E-2</v>
      </c>
    </row>
  </sheetData>
  <sortState xmlns:xlrd2="http://schemas.microsoft.com/office/spreadsheetml/2017/richdata2" ref="B22:C39">
    <sortCondition descending="1" ref="C21:C39"/>
  </sortState>
  <customSheetViews>
    <customSheetView guid="{2553490D-CEB8-4CB7-8490-7C9CCD5DDA4B}">
      <selection activeCell="B11" sqref="B11"/>
      <pageMargins left="0.7" right="0.7" top="0.75" bottom="0.75" header="0.3" footer="0.3"/>
    </customSheetView>
  </customSheetViews>
  <hyperlinks>
    <hyperlink ref="B33" r:id="rId1" display="Cabrillo Community College District (2019-2022)" xr:uid="{80A8BBE3-0E7D-4064-98D0-114937EE1642}"/>
    <hyperlink ref="B22" r:id="rId2" display="College of the Sequoias (2021-2024)" xr:uid="{2496B7CC-126C-4202-A9EA-240F7CF1A07B}"/>
    <hyperlink ref="B31" r:id="rId3" display="Gavilan Community College District (2018-2021)" xr:uid="{AA7EDCCB-FBCD-44AC-907C-95458899CECF}"/>
    <hyperlink ref="B30" r:id="rId4" display="Hartnell Community College District (2019-2022)" xr:uid="{4841A9C9-B7CE-4941-992A-21EA12F47CB1}"/>
    <hyperlink ref="B23" r:id="rId5" display="Kern Community College District (2020-2023)" xr:uid="{F5FBCDFC-A4B4-4A55-ACC2-6393E45C7ED4}"/>
    <hyperlink ref="B26" r:id="rId6" display="Merced Community College District (2018-2021)" xr:uid="{025FA4E7-ECD3-4EBF-9388-DBE9707DE2F9}"/>
    <hyperlink ref="B37" r:id="rId7" display="Monterey - Peninsula Community College District (2019-2022)" xr:uid="{A9AC9B60-0886-41D7-A380-08782FFD6CEA}"/>
    <hyperlink ref="B32" r:id="rId8" display="San Luis Obispo County Community College District (2021-2023)" xr:uid="{C12C89A2-31E8-4321-9C20-788CDB0CE705}"/>
    <hyperlink ref="B29" r:id="rId9" display="State Center Community College District (2018-2021) " xr:uid="{2B9AA675-BD9E-4690-BBAA-071F78015B1D}"/>
    <hyperlink ref="B24" r:id="rId10" display="West Kern Community College District (Taft College) (2020-2023)" xr:uid="{54AE49CA-1380-4262-BE8E-03615125A568}"/>
    <hyperlink ref="B25" r:id="rId11" display="West Hills Community College District (2019-2022) " xr:uid="{AFB8BF67-4902-4C46-BEA1-7E870EB7B96A}"/>
    <hyperlink ref="B34" r:id="rId12" display="Yosemite Community College District (2020-2023) " xr:uid="{202840E0-FCAE-42EA-9158-C02FF8048920}"/>
    <hyperlink ref="B39" r:id="rId13" display="Allan Hancock CCD (2021-2024)" xr:uid="{B4898358-1C03-4148-A912-8B21212223D2}"/>
    <hyperlink ref="B36" r:id="rId14" display="Ventura" xr:uid="{1B7833CE-1E99-4211-9A57-4E112AFB6E15}"/>
    <hyperlink ref="B35" r:id="rId15" display="Los Rios" xr:uid="{F67C17EA-EC3A-44B7-8F5E-C59BA06C5298}"/>
    <hyperlink ref="B38" r:id="rId16" display="Contra Costa Community College District (2019-2022)" xr:uid="{89B51AB8-1178-4EFF-A061-09FDB06CE451}"/>
    <hyperlink ref="B28" r:id="rId17" display="San Joaquin Delta (2024-2027)" xr:uid="{3E1AE2AB-181A-43F8-B639-148D8AAD2A14}"/>
    <hyperlink ref="B27" r:id="rId18" display="State Center Community College District (2018-2021) " xr:uid="{4841D6A3-D199-42BB-AA5E-B16ED27A333B}"/>
  </hyperlinks>
  <pageMargins left="0.25" right="0.25" top="0.75" bottom="0.75" header="0.3" footer="0.3"/>
  <pageSetup scale="54" orientation="landscape" r:id="rId19"/>
  <drawing r:id="rId20"/>
  <legacyDrawing r:id="rId21"/>
  <tableParts count="1">
    <tablePart r:id="rId2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15</vt:i4>
      </vt:variant>
    </vt:vector>
  </HeadingPairs>
  <TitlesOfParts>
    <vt:vector size="33" baseType="lpstr">
      <vt:lpstr>Raw Data</vt:lpstr>
      <vt:lpstr>COLI</vt:lpstr>
      <vt:lpstr>Salary Low</vt:lpstr>
      <vt:lpstr>Salary Low (Masters)</vt:lpstr>
      <vt:lpstr>Masters+5Years</vt:lpstr>
      <vt:lpstr>Masters+30Units+10Years</vt:lpstr>
      <vt:lpstr>Masters+60Units+20Years</vt:lpstr>
      <vt:lpstr>Salary High (MA+)</vt:lpstr>
      <vt:lpstr>Salary Doctorate</vt:lpstr>
      <vt:lpstr>DailyRate</vt:lpstr>
      <vt:lpstr>Comp-Eq-SOL</vt:lpstr>
      <vt:lpstr>Eq-Std-Living-Comp</vt:lpstr>
      <vt:lpstr>Comp-Eq-SOL (2)</vt:lpstr>
      <vt:lpstr>Contract</vt:lpstr>
      <vt:lpstr>Daily Rate</vt:lpstr>
      <vt:lpstr>Lab Rate</vt:lpstr>
      <vt:lpstr>Release Time</vt:lpstr>
      <vt:lpstr>PVC Daily Rate</vt:lpstr>
      <vt:lpstr>COLI!Print_Area</vt:lpstr>
      <vt:lpstr>'Comp-Eq-SOL'!Print_Area</vt:lpstr>
      <vt:lpstr>'Comp-Eq-SOL (2)'!Print_Area</vt:lpstr>
      <vt:lpstr>Contract!Print_Area</vt:lpstr>
      <vt:lpstr>'Daily Rate'!Print_Area</vt:lpstr>
      <vt:lpstr>DailyRate!Print_Area</vt:lpstr>
      <vt:lpstr>'Eq-Std-Living-Comp'!Print_Area</vt:lpstr>
      <vt:lpstr>'Lab Rate'!Print_Area</vt:lpstr>
      <vt:lpstr>'PVC Daily Rate'!Print_Area</vt:lpstr>
      <vt:lpstr>'Raw Data'!Print_Area</vt:lpstr>
      <vt:lpstr>'Release Time'!Print_Area</vt:lpstr>
      <vt:lpstr>'Salary Doctorate'!Print_Area</vt:lpstr>
      <vt:lpstr>'Salary High (MA+)'!Print_Area</vt:lpstr>
      <vt:lpstr>'Salary Low'!Print_Area</vt:lpstr>
      <vt:lpstr>'Salary Low (Masters)'!Print_Area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Rex Erickson</dc:creator>
  <cp:lastModifiedBy>Randy Erickson</cp:lastModifiedBy>
  <cp:lastPrinted>2025-10-24T23:32:03Z</cp:lastPrinted>
  <dcterms:created xsi:type="dcterms:W3CDTF">2017-03-07T20:21:23Z</dcterms:created>
  <dcterms:modified xsi:type="dcterms:W3CDTF">2025-10-24T23:32:27Z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aveLocal">
    <vt:bool>true</vt:bool>
  </property>
</Properties>
</file>